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ogic\AppData\Local\Microsoft\Windows\INetCache\Content.Outlook\G5U1E78D\"/>
    </mc:Choice>
  </mc:AlternateContent>
  <bookViews>
    <workbookView xWindow="-120" yWindow="-120" windowWidth="29040" windowHeight="15840"/>
  </bookViews>
  <sheets>
    <sheet name="račun dobiti i gubitka" sheetId="5" r:id="rId1"/>
    <sheet name="bilanca " sheetId="21" r:id="rId2"/>
    <sheet name="plan invest.ulaganja" sheetId="13" r:id="rId3"/>
    <sheet name="izvori financiranja inv" sheetId="8" r:id="rId4"/>
    <sheet name="namjena i izvori financ.inv" sheetId="7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aktiva1">#REF!</definedName>
    <definedName name="pasiva1">#REF!</definedName>
    <definedName name="_xlnm.Print_Area" localSheetId="4">'namjena i izvori financ.inv'!$A$1:$O$96</definedName>
    <definedName name="_xlnm.Print_Area" localSheetId="2">'plan invest.ulaganja'!$A$1:$M$111</definedName>
    <definedName name="_xlnm.Print_Titles" localSheetId="4">'namjena i izvori financ.inv'!$4:$6</definedName>
    <definedName name="_xlnm.Print_Titles" localSheetId="2">'plan invest.ulaganja'!$5:$6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21" l="1"/>
  <c r="D72" i="21"/>
  <c r="D71" i="21"/>
  <c r="E61" i="21" s="1"/>
  <c r="H70" i="21"/>
  <c r="J70" i="21" s="1"/>
  <c r="F70" i="21"/>
  <c r="H69" i="21"/>
  <c r="D69" i="21"/>
  <c r="E69" i="21" s="1"/>
  <c r="J65" i="21"/>
  <c r="J64" i="21"/>
  <c r="J62" i="21"/>
  <c r="H61" i="21"/>
  <c r="J61" i="21" s="1"/>
  <c r="F61" i="21"/>
  <c r="F69" i="21" s="1"/>
  <c r="J60" i="21"/>
  <c r="J59" i="21"/>
  <c r="I58" i="21"/>
  <c r="G58" i="21"/>
  <c r="I57" i="21"/>
  <c r="G57" i="21"/>
  <c r="I56" i="21"/>
  <c r="G56" i="21"/>
  <c r="J55" i="21"/>
  <c r="D53" i="21"/>
  <c r="F52" i="21"/>
  <c r="H52" i="21" s="1"/>
  <c r="J51" i="21"/>
  <c r="J47" i="21"/>
  <c r="J42" i="21"/>
  <c r="D39" i="21"/>
  <c r="E39" i="21" s="1"/>
  <c r="J37" i="21"/>
  <c r="J36" i="21"/>
  <c r="H34" i="21"/>
  <c r="J34" i="21" s="1"/>
  <c r="F31" i="21"/>
  <c r="H31" i="21" s="1"/>
  <c r="A31" i="2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I30" i="21"/>
  <c r="G30" i="21"/>
  <c r="J27" i="21"/>
  <c r="D26" i="21"/>
  <c r="E14" i="21" s="1"/>
  <c r="F24" i="21"/>
  <c r="D24" i="21"/>
  <c r="E24" i="21" s="1"/>
  <c r="J23" i="21"/>
  <c r="J21" i="21"/>
  <c r="H21" i="21"/>
  <c r="H24" i="21" s="1"/>
  <c r="D21" i="21"/>
  <c r="J20" i="21"/>
  <c r="D18" i="21"/>
  <c r="J17" i="21"/>
  <c r="J16" i="21"/>
  <c r="J15" i="21"/>
  <c r="H15" i="21"/>
  <c r="H14" i="21"/>
  <c r="F14" i="21"/>
  <c r="F18" i="21" s="1"/>
  <c r="J13" i="21"/>
  <c r="J12" i="21"/>
  <c r="I12" i="21"/>
  <c r="G12" i="21"/>
  <c r="A12" i="2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J11" i="21"/>
  <c r="I11" i="21"/>
  <c r="G11" i="21"/>
  <c r="A1" i="21"/>
  <c r="J69" i="21" l="1"/>
  <c r="J24" i="21"/>
  <c r="J52" i="21"/>
  <c r="H53" i="21"/>
  <c r="H39" i="21"/>
  <c r="J31" i="21"/>
  <c r="F26" i="21"/>
  <c r="I14" i="21" s="1"/>
  <c r="E25" i="21"/>
  <c r="E31" i="21"/>
  <c r="E51" i="21"/>
  <c r="E59" i="21"/>
  <c r="E71" i="21"/>
  <c r="E23" i="21"/>
  <c r="E16" i="21"/>
  <c r="E26" i="21"/>
  <c r="F53" i="21"/>
  <c r="E18" i="21"/>
  <c r="E53" i="21"/>
  <c r="E21" i="21"/>
  <c r="E41" i="21"/>
  <c r="H18" i="21"/>
  <c r="E36" i="21"/>
  <c r="E47" i="21"/>
  <c r="E64" i="21"/>
  <c r="F39" i="21"/>
  <c r="E52" i="21"/>
  <c r="E60" i="21"/>
  <c r="E62" i="21"/>
  <c r="E68" i="21"/>
  <c r="E70" i="21"/>
  <c r="J14" i="21"/>
  <c r="E65" i="21"/>
  <c r="E40" i="21"/>
  <c r="E17" i="21"/>
  <c r="E42" i="21"/>
  <c r="E13" i="21"/>
  <c r="E15" i="21"/>
  <c r="E54" i="21"/>
  <c r="D74" i="21"/>
  <c r="E20" i="21"/>
  <c r="E34" i="21"/>
  <c r="E37" i="21"/>
  <c r="E55" i="21"/>
  <c r="J53" i="21" l="1"/>
  <c r="J39" i="21"/>
  <c r="H71" i="21"/>
  <c r="I13" i="21"/>
  <c r="I23" i="21"/>
  <c r="I17" i="21"/>
  <c r="J18" i="21"/>
  <c r="H26" i="21"/>
  <c r="G53" i="21"/>
  <c r="G20" i="21"/>
  <c r="G18" i="21"/>
  <c r="I24" i="21"/>
  <c r="G15" i="21"/>
  <c r="G13" i="21"/>
  <c r="G24" i="21"/>
  <c r="G14" i="21"/>
  <c r="I20" i="21"/>
  <c r="I21" i="21"/>
  <c r="I18" i="21"/>
  <c r="G26" i="21"/>
  <c r="G21" i="21"/>
  <c r="I16" i="21"/>
  <c r="G16" i="21"/>
  <c r="I15" i="21"/>
  <c r="G23" i="21"/>
  <c r="F71" i="21"/>
  <c r="G17" i="21"/>
  <c r="G63" i="21" l="1"/>
  <c r="G37" i="21"/>
  <c r="G34" i="21"/>
  <c r="I42" i="21"/>
  <c r="G51" i="21"/>
  <c r="I63" i="21"/>
  <c r="I65" i="21"/>
  <c r="G42" i="21"/>
  <c r="I68" i="21"/>
  <c r="G65" i="21"/>
  <c r="I62" i="21"/>
  <c r="I60" i="21"/>
  <c r="G59" i="21"/>
  <c r="G68" i="21"/>
  <c r="G62" i="21"/>
  <c r="G60" i="21"/>
  <c r="I47" i="21"/>
  <c r="I36" i="21"/>
  <c r="G47" i="21"/>
  <c r="I41" i="21"/>
  <c r="G36" i="21"/>
  <c r="G55" i="21"/>
  <c r="G41" i="21"/>
  <c r="I67" i="21"/>
  <c r="I64" i="21"/>
  <c r="G66" i="21"/>
  <c r="I37" i="21"/>
  <c r="G71" i="21"/>
  <c r="G67" i="21"/>
  <c r="G64" i="21"/>
  <c r="I59" i="21"/>
  <c r="I51" i="21"/>
  <c r="I40" i="21"/>
  <c r="I66" i="21"/>
  <c r="I55" i="21"/>
  <c r="G40" i="21"/>
  <c r="G69" i="21"/>
  <c r="G52" i="21"/>
  <c r="I31" i="21"/>
  <c r="G31" i="21"/>
  <c r="G70" i="21"/>
  <c r="I61" i="21"/>
  <c r="I69" i="21"/>
  <c r="I34" i="21"/>
  <c r="I70" i="21"/>
  <c r="I52" i="21"/>
  <c r="G61" i="21"/>
  <c r="J71" i="21"/>
  <c r="I71" i="21"/>
  <c r="H74" i="21"/>
  <c r="J26" i="21"/>
  <c r="I26" i="21"/>
  <c r="I39" i="21"/>
  <c r="G39" i="21"/>
  <c r="F74" i="21"/>
  <c r="I53" i="21"/>
  <c r="E39" i="5" l="1"/>
  <c r="E29" i="5" l="1"/>
  <c r="E24" i="5"/>
  <c r="E17" i="5" s="1"/>
  <c r="E10" i="5"/>
  <c r="N76" i="7" l="1"/>
  <c r="O76" i="7" s="1"/>
  <c r="N75" i="7"/>
  <c r="O75" i="7" s="1"/>
  <c r="C53" i="7"/>
  <c r="N29" i="7"/>
  <c r="O29" i="7" s="1"/>
  <c r="I34" i="13" l="1"/>
  <c r="I33" i="13"/>
  <c r="I32" i="13"/>
  <c r="I31" i="13"/>
  <c r="I83" i="13"/>
  <c r="I82" i="13"/>
  <c r="L82" i="13" s="1"/>
  <c r="Q22" i="8"/>
  <c r="P22" i="8"/>
  <c r="O22" i="8"/>
  <c r="Q20" i="8"/>
  <c r="P20" i="8"/>
  <c r="O20" i="8"/>
  <c r="Q19" i="8"/>
  <c r="P19" i="8"/>
  <c r="O19" i="8"/>
  <c r="Q18" i="8"/>
  <c r="P18" i="8"/>
  <c r="O18" i="8"/>
  <c r="Q17" i="8"/>
  <c r="P17" i="8"/>
  <c r="O17" i="8"/>
  <c r="Q16" i="8"/>
  <c r="P16" i="8"/>
  <c r="O16" i="8"/>
  <c r="Q15" i="8"/>
  <c r="P15" i="8"/>
  <c r="O15" i="8"/>
  <c r="Q14" i="8"/>
  <c r="P14" i="8"/>
  <c r="O14" i="8"/>
  <c r="Q12" i="8"/>
  <c r="P12" i="8"/>
  <c r="O12" i="8"/>
  <c r="Q11" i="8"/>
  <c r="P11" i="8"/>
  <c r="O11" i="8"/>
  <c r="J110" i="13"/>
  <c r="J109" i="13"/>
  <c r="J108" i="13"/>
  <c r="J107" i="13"/>
  <c r="J106" i="13"/>
  <c r="J105" i="13"/>
  <c r="J104" i="13"/>
  <c r="L103" i="13"/>
  <c r="K103" i="13"/>
  <c r="K102" i="13"/>
  <c r="K101" i="13"/>
  <c r="K100" i="13"/>
  <c r="K99" i="13"/>
  <c r="K98" i="13"/>
  <c r="K97" i="13"/>
  <c r="K96" i="13"/>
  <c r="K95" i="13"/>
  <c r="K94" i="13"/>
  <c r="J94" i="13"/>
  <c r="J91" i="13"/>
  <c r="K90" i="13"/>
  <c r="K89" i="13"/>
  <c r="K88" i="13"/>
  <c r="J86" i="13"/>
  <c r="J85" i="13"/>
  <c r="K84" i="13"/>
  <c r="K81" i="13"/>
  <c r="K79" i="13"/>
  <c r="K78" i="13"/>
  <c r="K77" i="13"/>
  <c r="K76" i="13"/>
  <c r="J76" i="13"/>
  <c r="K75" i="13"/>
  <c r="K74" i="13"/>
  <c r="K73" i="13"/>
  <c r="K72" i="13"/>
  <c r="J72" i="13"/>
  <c r="K71" i="13"/>
  <c r="K69" i="13"/>
  <c r="K68" i="13"/>
  <c r="K67" i="13"/>
  <c r="K66" i="13"/>
  <c r="J66" i="13"/>
  <c r="K65" i="13"/>
  <c r="J65" i="13"/>
  <c r="K64" i="13"/>
  <c r="J64" i="13"/>
  <c r="K62" i="13"/>
  <c r="K61" i="13"/>
  <c r="J61" i="13"/>
  <c r="K60" i="13"/>
  <c r="K58" i="13"/>
  <c r="J58" i="13"/>
  <c r="K57" i="13"/>
  <c r="J57" i="13"/>
  <c r="K56" i="13"/>
  <c r="K55" i="13"/>
  <c r="J55" i="13"/>
  <c r="K54" i="13"/>
  <c r="J52" i="13"/>
  <c r="K50" i="13"/>
  <c r="K49" i="13"/>
  <c r="K48" i="13"/>
  <c r="J46" i="13"/>
  <c r="K45" i="13"/>
  <c r="K44" i="13"/>
  <c r="K42" i="13"/>
  <c r="K41" i="13"/>
  <c r="K40" i="13"/>
  <c r="J40" i="13"/>
  <c r="J33" i="13"/>
  <c r="J32" i="13"/>
  <c r="J31" i="13"/>
  <c r="K30" i="13"/>
  <c r="K26" i="13"/>
  <c r="K25" i="13"/>
  <c r="K24" i="13"/>
  <c r="K23" i="13"/>
  <c r="K22" i="13"/>
  <c r="K21" i="13"/>
  <c r="K20" i="13"/>
  <c r="K19" i="13"/>
  <c r="K18" i="13"/>
  <c r="K17" i="13"/>
  <c r="K15" i="13"/>
  <c r="K14" i="13"/>
  <c r="K13" i="13"/>
  <c r="K12" i="13"/>
  <c r="K11" i="13"/>
  <c r="K10" i="13"/>
  <c r="K9" i="13"/>
  <c r="L9" i="8" l="1"/>
  <c r="K13" i="8"/>
  <c r="K9" i="8" s="1"/>
  <c r="I13" i="8"/>
  <c r="G103" i="13"/>
  <c r="F43" i="13"/>
  <c r="F39" i="13"/>
  <c r="F37" i="13"/>
  <c r="H87" i="13"/>
  <c r="F87" i="13"/>
  <c r="E87" i="13"/>
  <c r="H70" i="13"/>
  <c r="E70" i="13"/>
  <c r="H59" i="13"/>
  <c r="E59" i="13"/>
  <c r="G53" i="13"/>
  <c r="F53" i="13"/>
  <c r="E53" i="13"/>
  <c r="H47" i="13"/>
  <c r="G47" i="13"/>
  <c r="F47" i="13"/>
  <c r="E47" i="13"/>
  <c r="F63" i="13"/>
  <c r="G63" i="13" s="1"/>
  <c r="H46" i="13"/>
  <c r="F80" i="13"/>
  <c r="H55" i="13"/>
  <c r="H53" i="13" s="1"/>
  <c r="G42" i="13"/>
  <c r="H40" i="13"/>
  <c r="J43" i="13" l="1"/>
  <c r="F59" i="13"/>
  <c r="K63" i="13"/>
  <c r="J63" i="13"/>
  <c r="P13" i="8"/>
  <c r="O13" i="8"/>
  <c r="K87" i="13"/>
  <c r="K47" i="13"/>
  <c r="I9" i="8"/>
  <c r="K53" i="13"/>
  <c r="I53" i="13"/>
  <c r="L53" i="13" s="1"/>
  <c r="F70" i="13"/>
  <c r="K80" i="13"/>
  <c r="J80" i="13"/>
  <c r="G80" i="13"/>
  <c r="G70" i="13" s="1"/>
  <c r="I70" i="13" s="1"/>
  <c r="L70" i="13" s="1"/>
  <c r="F36" i="13"/>
  <c r="K59" i="13" l="1"/>
  <c r="K70" i="13"/>
  <c r="F35" i="13"/>
  <c r="I28" i="13" l="1"/>
  <c r="I27" i="13"/>
  <c r="E10" i="8"/>
  <c r="E21" i="8" l="1"/>
  <c r="E23" i="8" s="1"/>
  <c r="F9" i="8" l="1"/>
  <c r="F23" i="8"/>
  <c r="F10" i="8"/>
  <c r="D92" i="13" l="1"/>
  <c r="D87" i="13"/>
  <c r="D70" i="13"/>
  <c r="D59" i="13"/>
  <c r="D53" i="13"/>
  <c r="D47" i="13"/>
  <c r="D43" i="13"/>
  <c r="D39" i="13"/>
  <c r="D8" i="13"/>
  <c r="D37" i="13" l="1"/>
  <c r="D36" i="13" s="1"/>
  <c r="D35" i="13" s="1"/>
  <c r="D111" i="13" s="1"/>
  <c r="C92" i="13" l="1"/>
  <c r="C47" i="13"/>
  <c r="J47" i="13" s="1"/>
  <c r="C87" i="13"/>
  <c r="J87" i="13" s="1"/>
  <c r="C70" i="13"/>
  <c r="J70" i="13" s="1"/>
  <c r="C33" i="5"/>
  <c r="C27" i="5" s="1"/>
  <c r="C26" i="5" s="1"/>
  <c r="C29" i="5"/>
  <c r="C17" i="5"/>
  <c r="C9" i="5" s="1"/>
  <c r="C8" i="5" s="1"/>
  <c r="C13" i="5"/>
  <c r="C44" i="5" l="1"/>
  <c r="C41" i="5"/>
  <c r="F93" i="13" l="1"/>
  <c r="K93" i="13" l="1"/>
  <c r="J93" i="13"/>
  <c r="G93" i="13"/>
  <c r="F92" i="13"/>
  <c r="J92" i="13" l="1"/>
  <c r="F13" i="7" l="1"/>
  <c r="F8" i="7" s="1"/>
  <c r="N46" i="7"/>
  <c r="O46" i="7" s="1"/>
  <c r="C42" i="7"/>
  <c r="N22" i="7"/>
  <c r="O22" i="7" s="1"/>
  <c r="N21" i="7"/>
  <c r="O21" i="7" s="1"/>
  <c r="G64" i="13" l="1"/>
  <c r="G65" i="13" l="1"/>
  <c r="I65" i="13" s="1"/>
  <c r="L65" i="13" s="1"/>
  <c r="H16" i="13"/>
  <c r="F16" i="13"/>
  <c r="K16" i="13" s="1"/>
  <c r="I14" i="13"/>
  <c r="L14" i="13" s="1"/>
  <c r="I15" i="13"/>
  <c r="I102" i="13"/>
  <c r="I100" i="13"/>
  <c r="I99" i="13"/>
  <c r="G98" i="13"/>
  <c r="G92" i="13" s="1"/>
  <c r="I97" i="13"/>
  <c r="L97" i="13" s="1"/>
  <c r="I96" i="13"/>
  <c r="L96" i="13" s="1"/>
  <c r="I95" i="13"/>
  <c r="I94" i="13"/>
  <c r="L94" i="13" s="1"/>
  <c r="E92" i="13"/>
  <c r="K92" i="13" s="1"/>
  <c r="G90" i="13"/>
  <c r="I89" i="13"/>
  <c r="L89" i="13" s="1"/>
  <c r="I88" i="13"/>
  <c r="I84" i="13"/>
  <c r="L84" i="13" s="1"/>
  <c r="I81" i="13"/>
  <c r="I80" i="13"/>
  <c r="L80" i="13" s="1"/>
  <c r="I79" i="13"/>
  <c r="I78" i="13"/>
  <c r="I77" i="13"/>
  <c r="I76" i="13"/>
  <c r="L76" i="13" s="1"/>
  <c r="I75" i="13"/>
  <c r="I74" i="13"/>
  <c r="I73" i="13"/>
  <c r="I72" i="13"/>
  <c r="L72" i="13" s="1"/>
  <c r="I71" i="13"/>
  <c r="I69" i="13"/>
  <c r="I68" i="13"/>
  <c r="I67" i="13"/>
  <c r="L67" i="13" s="1"/>
  <c r="I66" i="13"/>
  <c r="L66" i="13" s="1"/>
  <c r="I62" i="13"/>
  <c r="I61" i="13"/>
  <c r="I60" i="13"/>
  <c r="C59" i="13"/>
  <c r="J59" i="13" s="1"/>
  <c r="I58" i="13"/>
  <c r="I57" i="13"/>
  <c r="I56" i="13"/>
  <c r="I55" i="13"/>
  <c r="L55" i="13" s="1"/>
  <c r="I54" i="13"/>
  <c r="C53" i="13"/>
  <c r="J53" i="13" s="1"/>
  <c r="I51" i="13"/>
  <c r="I50" i="13"/>
  <c r="I49" i="13"/>
  <c r="I48" i="13"/>
  <c r="I46" i="13"/>
  <c r="L46" i="13" s="1"/>
  <c r="I45" i="13"/>
  <c r="I44" i="13"/>
  <c r="H43" i="13"/>
  <c r="G43" i="13"/>
  <c r="E43" i="13"/>
  <c r="K43" i="13" s="1"/>
  <c r="I42" i="13"/>
  <c r="L42" i="13" s="1"/>
  <c r="I41" i="13"/>
  <c r="I40" i="13"/>
  <c r="L40" i="13" s="1"/>
  <c r="G39" i="13"/>
  <c r="G37" i="13" s="1"/>
  <c r="E39" i="13"/>
  <c r="C39" i="13"/>
  <c r="J39" i="13" s="1"/>
  <c r="I38" i="13"/>
  <c r="I30" i="13"/>
  <c r="I29" i="13"/>
  <c r="I26" i="13"/>
  <c r="I25" i="13"/>
  <c r="L25" i="13" s="1"/>
  <c r="I24" i="13"/>
  <c r="I23" i="13"/>
  <c r="I22" i="13"/>
  <c r="I21" i="13"/>
  <c r="I20" i="13"/>
  <c r="I19" i="13"/>
  <c r="L19" i="13" s="1"/>
  <c r="I18" i="13"/>
  <c r="L18" i="13" s="1"/>
  <c r="I13" i="13"/>
  <c r="I12" i="13"/>
  <c r="L12" i="13" s="1"/>
  <c r="I11" i="13"/>
  <c r="L11" i="13" s="1"/>
  <c r="I10" i="13"/>
  <c r="I9" i="13"/>
  <c r="L9" i="13" s="1"/>
  <c r="E8" i="13"/>
  <c r="C8" i="13"/>
  <c r="A2" i="13"/>
  <c r="E37" i="13" l="1"/>
  <c r="K37" i="13" s="1"/>
  <c r="K39" i="13"/>
  <c r="I47" i="13"/>
  <c r="I90" i="13"/>
  <c r="L90" i="13" s="1"/>
  <c r="G87" i="13"/>
  <c r="I87" i="13" s="1"/>
  <c r="L87" i="13" s="1"/>
  <c r="G59" i="13"/>
  <c r="I59" i="13" s="1"/>
  <c r="L59" i="13" s="1"/>
  <c r="G16" i="13"/>
  <c r="G8" i="13" s="1"/>
  <c r="C37" i="13"/>
  <c r="J37" i="13" s="1"/>
  <c r="H8" i="13"/>
  <c r="F8" i="13"/>
  <c r="K8" i="13" s="1"/>
  <c r="H92" i="13"/>
  <c r="I17" i="13"/>
  <c r="I93" i="13"/>
  <c r="L93" i="13" s="1"/>
  <c r="I101" i="13"/>
  <c r="I43" i="13"/>
  <c r="I64" i="13"/>
  <c r="L64" i="13" s="1"/>
  <c r="H39" i="13"/>
  <c r="H37" i="13" s="1"/>
  <c r="H36" i="13" s="1"/>
  <c r="H35" i="13" s="1"/>
  <c r="I98" i="13"/>
  <c r="L98" i="13" s="1"/>
  <c r="C12" i="7"/>
  <c r="C8" i="7" s="1"/>
  <c r="G36" i="13" l="1"/>
  <c r="G35" i="13" s="1"/>
  <c r="I35" i="13" s="1"/>
  <c r="L35" i="13" s="1"/>
  <c r="I37" i="13"/>
  <c r="L37" i="13" s="1"/>
  <c r="C36" i="13"/>
  <c r="J36" i="13" s="1"/>
  <c r="I63" i="13"/>
  <c r="L63" i="13" s="1"/>
  <c r="E36" i="13"/>
  <c r="I92" i="13"/>
  <c r="L92" i="13" s="1"/>
  <c r="I39" i="13"/>
  <c r="L39" i="13" s="1"/>
  <c r="J8" i="13"/>
  <c r="I8" i="13"/>
  <c r="I16" i="13"/>
  <c r="L16" i="13" s="1"/>
  <c r="I36" i="13" l="1"/>
  <c r="L36" i="13" s="1"/>
  <c r="E35" i="13"/>
  <c r="K36" i="13"/>
  <c r="H111" i="13"/>
  <c r="C35" i="13"/>
  <c r="F111" i="13"/>
  <c r="L8" i="13"/>
  <c r="C111" i="13" l="1"/>
  <c r="J35" i="13"/>
  <c r="E111" i="13"/>
  <c r="K35" i="13"/>
  <c r="J111" i="13"/>
  <c r="K111" i="13"/>
  <c r="G111" i="13"/>
  <c r="I111" i="13" l="1"/>
  <c r="L111" i="13" l="1"/>
  <c r="J93" i="7" l="1"/>
  <c r="N92" i="7"/>
  <c r="O92" i="7" s="1"/>
  <c r="N91" i="7"/>
  <c r="O91" i="7" s="1"/>
  <c r="N90" i="7"/>
  <c r="O90" i="7" s="1"/>
  <c r="N89" i="7"/>
  <c r="O89" i="7" s="1"/>
  <c r="N88" i="7"/>
  <c r="O88" i="7" s="1"/>
  <c r="N87" i="7"/>
  <c r="O87" i="7" s="1"/>
  <c r="N86" i="7"/>
  <c r="O86" i="7" s="1"/>
  <c r="N85" i="7"/>
  <c r="O85" i="7" s="1"/>
  <c r="N84" i="7"/>
  <c r="O84" i="7" s="1"/>
  <c r="N83" i="7"/>
  <c r="O83" i="7" s="1"/>
  <c r="F82" i="7"/>
  <c r="N82" i="7" s="1"/>
  <c r="C82" i="7"/>
  <c r="N81" i="7"/>
  <c r="O81" i="7" s="1"/>
  <c r="N80" i="7"/>
  <c r="O80" i="7" s="1"/>
  <c r="N79" i="7"/>
  <c r="O79" i="7" s="1"/>
  <c r="N78" i="7"/>
  <c r="C78" i="7"/>
  <c r="N77" i="7"/>
  <c r="O77" i="7" s="1"/>
  <c r="N74" i="7"/>
  <c r="O74" i="7" s="1"/>
  <c r="N73" i="7"/>
  <c r="O73" i="7" s="1"/>
  <c r="N72" i="7"/>
  <c r="O72" i="7" s="1"/>
  <c r="N71" i="7"/>
  <c r="O71" i="7" s="1"/>
  <c r="N70" i="7"/>
  <c r="O70" i="7" s="1"/>
  <c r="N69" i="7"/>
  <c r="O69" i="7" s="1"/>
  <c r="N68" i="7"/>
  <c r="O68" i="7" s="1"/>
  <c r="N67" i="7"/>
  <c r="O67" i="7" s="1"/>
  <c r="N66" i="7"/>
  <c r="O66" i="7" s="1"/>
  <c r="N65" i="7"/>
  <c r="O65" i="7" s="1"/>
  <c r="N64" i="7"/>
  <c r="O64" i="7" s="1"/>
  <c r="N63" i="7"/>
  <c r="C63" i="7"/>
  <c r="N62" i="7"/>
  <c r="O62" i="7" s="1"/>
  <c r="N61" i="7"/>
  <c r="O61" i="7" s="1"/>
  <c r="N60" i="7"/>
  <c r="O60" i="7" s="1"/>
  <c r="N59" i="7"/>
  <c r="O59" i="7" s="1"/>
  <c r="N58" i="7"/>
  <c r="O58" i="7" s="1"/>
  <c r="N57" i="7"/>
  <c r="O57" i="7" s="1"/>
  <c r="N56" i="7"/>
  <c r="O56" i="7" s="1"/>
  <c r="N55" i="7"/>
  <c r="O55" i="7" s="1"/>
  <c r="N54" i="7"/>
  <c r="O54" i="7" s="1"/>
  <c r="N53" i="7"/>
  <c r="N52" i="7"/>
  <c r="O52" i="7" s="1"/>
  <c r="N51" i="7"/>
  <c r="O51" i="7" s="1"/>
  <c r="N50" i="7"/>
  <c r="O50" i="7" s="1"/>
  <c r="N49" i="7"/>
  <c r="O49" i="7" s="1"/>
  <c r="N48" i="7"/>
  <c r="O48" i="7" s="1"/>
  <c r="N47" i="7"/>
  <c r="C47" i="7"/>
  <c r="N45" i="7"/>
  <c r="O45" i="7" s="1"/>
  <c r="N44" i="7"/>
  <c r="O44" i="7" s="1"/>
  <c r="N43" i="7"/>
  <c r="O43" i="7" s="1"/>
  <c r="N42" i="7"/>
  <c r="N41" i="7"/>
  <c r="O41" i="7" s="1"/>
  <c r="O40" i="7"/>
  <c r="N39" i="7"/>
  <c r="O39" i="7" s="1"/>
  <c r="N38" i="7"/>
  <c r="C38" i="7"/>
  <c r="N37" i="7"/>
  <c r="O37" i="7" s="1"/>
  <c r="N36" i="7"/>
  <c r="O36" i="7" s="1"/>
  <c r="N35" i="7"/>
  <c r="O35" i="7" s="1"/>
  <c r="N34" i="7"/>
  <c r="C34" i="7"/>
  <c r="N33" i="7"/>
  <c r="O33" i="7" s="1"/>
  <c r="N32" i="7"/>
  <c r="F31" i="7"/>
  <c r="N31" i="7" s="1"/>
  <c r="F30" i="7"/>
  <c r="N30" i="7" s="1"/>
  <c r="N28" i="7"/>
  <c r="O28" i="7" s="1"/>
  <c r="N27" i="7"/>
  <c r="O27" i="7" s="1"/>
  <c r="N24" i="7"/>
  <c r="O24" i="7" s="1"/>
  <c r="N23" i="7"/>
  <c r="O23" i="7" s="1"/>
  <c r="N20" i="7"/>
  <c r="O20" i="7" s="1"/>
  <c r="N19" i="7"/>
  <c r="O19" i="7" s="1"/>
  <c r="N18" i="7"/>
  <c r="O18" i="7" s="1"/>
  <c r="N17" i="7"/>
  <c r="O17" i="7" s="1"/>
  <c r="N26" i="7"/>
  <c r="O26" i="7" s="1"/>
  <c r="N25" i="7"/>
  <c r="O25" i="7" s="1"/>
  <c r="N16" i="7"/>
  <c r="O16" i="7" s="1"/>
  <c r="N15" i="7"/>
  <c r="O15" i="7" s="1"/>
  <c r="N14" i="7"/>
  <c r="O14" i="7" s="1"/>
  <c r="N13" i="7"/>
  <c r="O13" i="7" s="1"/>
  <c r="N12" i="7"/>
  <c r="O12" i="7" s="1"/>
  <c r="N11" i="7"/>
  <c r="O11" i="7" s="1"/>
  <c r="N10" i="7"/>
  <c r="O10" i="7" s="1"/>
  <c r="N9" i="7"/>
  <c r="O9" i="7" s="1"/>
  <c r="M8" i="7"/>
  <c r="M93" i="7" s="1"/>
  <c r="L8" i="7"/>
  <c r="L93" i="7" s="1"/>
  <c r="K8" i="7"/>
  <c r="K93" i="7" s="1"/>
  <c r="J8" i="7"/>
  <c r="I8" i="7"/>
  <c r="I93" i="7" s="1"/>
  <c r="H8" i="7"/>
  <c r="G8" i="7"/>
  <c r="G93" i="7" s="1"/>
  <c r="E8" i="7"/>
  <c r="D8" i="7"/>
  <c r="D93" i="7" s="1"/>
  <c r="A1" i="7"/>
  <c r="N20" i="8"/>
  <c r="J20" i="8"/>
  <c r="H20" i="8"/>
  <c r="D20" i="8"/>
  <c r="N19" i="8"/>
  <c r="J19" i="8"/>
  <c r="H19" i="8"/>
  <c r="D19" i="8"/>
  <c r="N18" i="8"/>
  <c r="J18" i="8"/>
  <c r="H18" i="8"/>
  <c r="D18" i="8"/>
  <c r="N17" i="8"/>
  <c r="J17" i="8"/>
  <c r="H17" i="8"/>
  <c r="D17" i="8"/>
  <c r="N16" i="8"/>
  <c r="J16" i="8"/>
  <c r="H16" i="8"/>
  <c r="D16" i="8"/>
  <c r="N15" i="8"/>
  <c r="J15" i="8"/>
  <c r="H15" i="8"/>
  <c r="D15" i="8"/>
  <c r="N14" i="8"/>
  <c r="J14" i="8"/>
  <c r="H14" i="8"/>
  <c r="D14" i="8"/>
  <c r="M13" i="8"/>
  <c r="Q13" i="8" s="1"/>
  <c r="N12" i="8"/>
  <c r="J12" i="8"/>
  <c r="H12" i="8"/>
  <c r="D12" i="8"/>
  <c r="N11" i="8"/>
  <c r="J11" i="8"/>
  <c r="H11" i="8"/>
  <c r="D11" i="8"/>
  <c r="L10" i="8"/>
  <c r="L21" i="8" s="1"/>
  <c r="L23" i="8" s="1"/>
  <c r="K10" i="8"/>
  <c r="I10" i="8"/>
  <c r="G10" i="8"/>
  <c r="P10" i="8" s="1"/>
  <c r="C10" i="8"/>
  <c r="O9" i="8"/>
  <c r="A3" i="8"/>
  <c r="C21" i="8" l="1"/>
  <c r="O10" i="8"/>
  <c r="I21" i="8"/>
  <c r="Q21" i="8" s="1"/>
  <c r="Q10" i="8"/>
  <c r="C32" i="7"/>
  <c r="O53" i="7"/>
  <c r="C31" i="7"/>
  <c r="F93" i="7"/>
  <c r="O78" i="7"/>
  <c r="O38" i="7"/>
  <c r="O42" i="7"/>
  <c r="O63" i="7"/>
  <c r="O34" i="7"/>
  <c r="M10" i="8"/>
  <c r="G21" i="8"/>
  <c r="O82" i="7"/>
  <c r="O47" i="7"/>
  <c r="N8" i="7"/>
  <c r="N93" i="7" s="1"/>
  <c r="K21" i="8"/>
  <c r="P9" i="8"/>
  <c r="M9" i="8"/>
  <c r="M21" i="8" s="1"/>
  <c r="M23" i="8" s="1"/>
  <c r="O21" i="8" l="1"/>
  <c r="I23" i="8"/>
  <c r="Q23" i="8" s="1"/>
  <c r="G23" i="8"/>
  <c r="P23" i="8" s="1"/>
  <c r="P21" i="8"/>
  <c r="C23" i="8"/>
  <c r="O32" i="7"/>
  <c r="O8" i="7"/>
  <c r="K23" i="8"/>
  <c r="N21" i="8" s="1"/>
  <c r="H23" i="8"/>
  <c r="Q9" i="8"/>
  <c r="J9" i="8"/>
  <c r="J10" i="8"/>
  <c r="J23" i="8"/>
  <c r="D10" i="8" l="1"/>
  <c r="O23" i="8"/>
  <c r="D9" i="8"/>
  <c r="D23" i="8"/>
  <c r="H9" i="8"/>
  <c r="H10" i="8"/>
  <c r="O31" i="7"/>
  <c r="C30" i="7"/>
  <c r="N23" i="8"/>
  <c r="N13" i="8"/>
  <c r="N10" i="8"/>
  <c r="N9" i="8"/>
  <c r="O30" i="7" l="1"/>
  <c r="O93" i="7" s="1"/>
  <c r="C93" i="7"/>
  <c r="F40" i="5" l="1"/>
  <c r="F39" i="5"/>
  <c r="F38" i="5"/>
  <c r="F37" i="5"/>
  <c r="F36" i="5"/>
  <c r="F35" i="5"/>
  <c r="F34" i="5"/>
  <c r="F32" i="5"/>
  <c r="F30" i="5"/>
  <c r="F25" i="5"/>
  <c r="F24" i="5"/>
  <c r="F22" i="5"/>
  <c r="F21" i="5"/>
  <c r="F18" i="5"/>
  <c r="F16" i="5"/>
  <c r="F15" i="5"/>
  <c r="F14" i="5"/>
  <c r="F13" i="5"/>
  <c r="F11" i="5"/>
  <c r="F10" i="5"/>
  <c r="E33" i="5"/>
  <c r="E27" i="5" s="1"/>
  <c r="E26" i="5" s="1"/>
  <c r="F29" i="5"/>
  <c r="F17" i="5"/>
  <c r="E13" i="5"/>
  <c r="D33" i="5"/>
  <c r="D29" i="5"/>
  <c r="D17" i="5"/>
  <c r="D13" i="5"/>
  <c r="D9" i="5" s="1"/>
  <c r="A2" i="5"/>
  <c r="F33" i="5" l="1"/>
  <c r="E9" i="5"/>
  <c r="D27" i="5"/>
  <c r="F27" i="5" s="1"/>
  <c r="D8" i="5"/>
  <c r="E8" i="5" l="1"/>
  <c r="F9" i="5"/>
  <c r="D26" i="5"/>
  <c r="F26" i="5" s="1"/>
  <c r="D41" i="5"/>
  <c r="D44" i="5" l="1"/>
  <c r="E41" i="5"/>
  <c r="F8" i="5"/>
  <c r="F41" i="5" l="1"/>
  <c r="E43" i="5"/>
  <c r="F43" i="5" l="1"/>
  <c r="E44" i="5"/>
  <c r="F44" i="5" s="1"/>
</calcChain>
</file>

<file path=xl/sharedStrings.xml><?xml version="1.0" encoding="utf-8"?>
<sst xmlns="http://schemas.openxmlformats.org/spreadsheetml/2006/main" count="609" uniqueCount="394">
  <si>
    <t>2.</t>
  </si>
  <si>
    <t>3.</t>
  </si>
  <si>
    <t>Indeksi</t>
  </si>
  <si>
    <t>5/4</t>
  </si>
  <si>
    <t>Indeks</t>
  </si>
  <si>
    <t>Tablica 7</t>
  </si>
  <si>
    <t>Plan računa dobiti i gubitka za 2025.</t>
  </si>
  <si>
    <t>R.
br.</t>
  </si>
  <si>
    <t>Elementi</t>
  </si>
  <si>
    <t>I.</t>
  </si>
  <si>
    <t>Ukupni prihodi  (1. + 2.)</t>
  </si>
  <si>
    <t>1. Poslovni prihodi - ukupno, od toga:</t>
  </si>
  <si>
    <t xml:space="preserve">    1) Prihodi od prodaje proizvoda i usluga 
         na domaćem tržištu (gospodarstvo i 
         građani ukupno)</t>
  </si>
  <si>
    <t xml:space="preserve">    2) Prihodi od prodaje proizvoda i usluga 
        povezanim društvima</t>
  </si>
  <si>
    <t xml:space="preserve">    3) Prihodi ostvareni između podružnica</t>
  </si>
  <si>
    <t xml:space="preserve">    4) Prihodi iz Proračuna Grada Zagreba, u tome:</t>
  </si>
  <si>
    <t xml:space="preserve">         a) od prodaje (za ugovorene redovne i 
             ostale programe radova)</t>
  </si>
  <si>
    <t xml:space="preserve">         b) zakupnine</t>
  </si>
  <si>
    <t xml:space="preserve">         c) subvencije i potpore</t>
  </si>
  <si>
    <t xml:space="preserve">    5) Drugi nespomenuti poslovni prihodi:</t>
  </si>
  <si>
    <t xml:space="preserve">         a) prihodi od zakupnina na tržištu</t>
  </si>
  <si>
    <t xml:space="preserve">         b) prihodi od prodaje robe na
             domaćem tržištu</t>
  </si>
  <si>
    <t xml:space="preserve">         c) odgođeni prihodi temeljem MRS-a 20
             (besplatno ustupljena dugotrajna imovina)</t>
  </si>
  <si>
    <t xml:space="preserve">         d) naplaćena otpisana potraživanja</t>
  </si>
  <si>
    <t xml:space="preserve">         e) prihodi od ukidanja rezerviranja</t>
  </si>
  <si>
    <t xml:space="preserve">         f) prihodi od revalorizacije</t>
  </si>
  <si>
    <t xml:space="preserve">         g) svi drugi nespomenuti poslovni prihodi</t>
  </si>
  <si>
    <t>2. Financijski prihodi</t>
  </si>
  <si>
    <t>II.</t>
  </si>
  <si>
    <t>Ukupni rashodi  (3. + 4.)</t>
  </si>
  <si>
    <t>3. Poslovni rashodi - ukupno, od toga:</t>
  </si>
  <si>
    <t xml:space="preserve"> 1) Promjene vrijednosti zaliha proizvodnje 
     u tijeku i gotovih proizvoda</t>
  </si>
  <si>
    <t xml:space="preserve"> 2) Materijalni troškovi, u tome:</t>
  </si>
  <si>
    <t xml:space="preserve">         a) troškovi sirovina i materijala</t>
  </si>
  <si>
    <t xml:space="preserve">         b) troškovi prodane robe</t>
  </si>
  <si>
    <t xml:space="preserve">         c) ostali vanjski troškovi</t>
  </si>
  <si>
    <t xml:space="preserve"> 3) Troškovi za zaposlene, u tome:</t>
  </si>
  <si>
    <t xml:space="preserve">         a) troškovi osoblja</t>
  </si>
  <si>
    <t xml:space="preserve">         b) naknade troškova radnicima i izdaci 
              za ostala materijalna prava radnika</t>
  </si>
  <si>
    <t xml:space="preserve"> 4) Amortizacija</t>
  </si>
  <si>
    <t xml:space="preserve"> 5) Vrijednosno usklađivanje
     dugotrajne i kratkotrajne imovine</t>
  </si>
  <si>
    <t xml:space="preserve"> 6) Rezerviranja</t>
  </si>
  <si>
    <t xml:space="preserve"> 7) Svi drugi nespomenuti poslovni rashodi</t>
  </si>
  <si>
    <t>4. Financijski rashodi</t>
  </si>
  <si>
    <t>III.</t>
  </si>
  <si>
    <t>Dobit prije oporezivanja</t>
  </si>
  <si>
    <t>IV.</t>
  </si>
  <si>
    <t>Gubitak prije oporezivanja</t>
  </si>
  <si>
    <t>V.</t>
  </si>
  <si>
    <t>Porez na dobit</t>
  </si>
  <si>
    <t>VI.</t>
  </si>
  <si>
    <t>Dobit razdoblja</t>
  </si>
  <si>
    <t>VII.</t>
  </si>
  <si>
    <t>Gubitak razdoblja</t>
  </si>
  <si>
    <t>II. Izmjene i dopune plana                             I. - XII. 2025.</t>
  </si>
  <si>
    <t xml:space="preserve"> - iznosi u eurima, bez centi</t>
  </si>
  <si>
    <t>Red broj</t>
  </si>
  <si>
    <t>Namjena
investicija</t>
  </si>
  <si>
    <t>1.</t>
  </si>
  <si>
    <t>GRAĐEVINSKI OBJEKTI, od toga najviše:</t>
  </si>
  <si>
    <t>1.1.</t>
  </si>
  <si>
    <t>1.2.</t>
  </si>
  <si>
    <t>prijelaz s direktnog na indirektni način grijanja P8-11</t>
  </si>
  <si>
    <t>1.3.</t>
  </si>
  <si>
    <t>sanacija krova paviljona 29</t>
  </si>
  <si>
    <t>1.4.</t>
  </si>
  <si>
    <t>uređenje podova sajamskih paviljona</t>
  </si>
  <si>
    <t>1.5.</t>
  </si>
  <si>
    <t>1.6.</t>
  </si>
  <si>
    <t>zamjena dotrajale vanjske stolarije na zgradama i paviljonima</t>
  </si>
  <si>
    <t>1.7.</t>
  </si>
  <si>
    <t>prilagodba/izgradnja prostora za novo susretno postrojenje i smještaj  novog 20kV postrojenja, dobava i ugradnja novih transformatora 10/20 kV, priprema za priključenje solarne elektrane</t>
  </si>
  <si>
    <t>1.8.</t>
  </si>
  <si>
    <t>1.9.</t>
  </si>
  <si>
    <t>razni manji građevinski radovi na uređenju zidova, pročelja, sustava naplate parkiranja, ograda, reciklažnog dvorišta</t>
  </si>
  <si>
    <t>1.10.</t>
  </si>
  <si>
    <t>sanacija prometnih površina i elemenata odvodnje</t>
  </si>
  <si>
    <t>1.11.</t>
  </si>
  <si>
    <t>Uklanjanje objekata na otvorenom prostoru</t>
  </si>
  <si>
    <t>1.12.</t>
  </si>
  <si>
    <t xml:space="preserve">uređenje parkirališta za bicikle sa nadstrešnicom </t>
  </si>
  <si>
    <t>1.13.</t>
  </si>
  <si>
    <t>sanacija vanjskih ograda ZV-a</t>
  </si>
  <si>
    <t>1.14.</t>
  </si>
  <si>
    <t>nadogradnja i proširenje sustava naplate parkiranja</t>
  </si>
  <si>
    <t>1.15.</t>
  </si>
  <si>
    <t>građevinski radovi za nadogradnju i proširenje sustava naplate parkiranja</t>
  </si>
  <si>
    <t>1.16.</t>
  </si>
  <si>
    <t>mjerila za toplinsku energiju</t>
  </si>
  <si>
    <t>1.17.</t>
  </si>
  <si>
    <t>zamjena dotrajale vanjske stolarije RK</t>
  </si>
  <si>
    <t>1.18.</t>
  </si>
  <si>
    <t>zamjena dotrajale vanjske stolarije pav.5,6,8,8a,9,11</t>
  </si>
  <si>
    <t>1.19.</t>
  </si>
  <si>
    <t>UKUPNO OPREMA</t>
  </si>
  <si>
    <t>2.1.</t>
  </si>
  <si>
    <t>POSTROJENJA I OPREMA</t>
  </si>
  <si>
    <t>2.1.1.</t>
  </si>
  <si>
    <t>Uredska oprema</t>
  </si>
  <si>
    <t>2.1.1.1.</t>
  </si>
  <si>
    <t>pisaći,računski i ostali strojevi</t>
  </si>
  <si>
    <t>2.1.1.2.</t>
  </si>
  <si>
    <t>2.1.1.2.1.</t>
  </si>
  <si>
    <t>računala ,skeneri, printeri</t>
  </si>
  <si>
    <t>2.1.1.2.2.</t>
  </si>
  <si>
    <t>serveri + ups</t>
  </si>
  <si>
    <t>2.1.1.2.3.</t>
  </si>
  <si>
    <t xml:space="preserve">ostala računalna oprema </t>
  </si>
  <si>
    <t>2.1.1.3.</t>
  </si>
  <si>
    <t xml:space="preserve">Ostala elektronička oprema </t>
  </si>
  <si>
    <t>2.1.1.3.1.</t>
  </si>
  <si>
    <t>solventni printer i oprema</t>
  </si>
  <si>
    <t>2.1.1.3.2.</t>
  </si>
  <si>
    <t>2.1.1.4.</t>
  </si>
  <si>
    <t>Ostala uredska oprema</t>
  </si>
  <si>
    <t>2.1.2.</t>
  </si>
  <si>
    <t>Mjerni i kontrolni uređaji</t>
  </si>
  <si>
    <t>2.1.2.1.</t>
  </si>
  <si>
    <t>kontrolni vodomjeri</t>
  </si>
  <si>
    <t>2.1.2.2.</t>
  </si>
  <si>
    <t>TK mjerni instrumenti</t>
  </si>
  <si>
    <t>2.1.2.3.</t>
  </si>
  <si>
    <t>termografska kamera</t>
  </si>
  <si>
    <t>2.1.3.</t>
  </si>
  <si>
    <t>Oprema za grijanje ventilaciju i rashladni uređaji</t>
  </si>
  <si>
    <t>2.1.3.1.</t>
  </si>
  <si>
    <t>industrijski toplovodni grijač zraka</t>
  </si>
  <si>
    <t>2.1.3.2.</t>
  </si>
  <si>
    <t>klima uređaji</t>
  </si>
  <si>
    <t>2.1.3.3.</t>
  </si>
  <si>
    <t>uređaji i ventili za regulaciju grijanja</t>
  </si>
  <si>
    <t>2.1.3.4.</t>
  </si>
  <si>
    <t>usisavači i otirač</t>
  </si>
  <si>
    <t>2.1.4.</t>
  </si>
  <si>
    <t>Oprema za protupožarnu zaštitu</t>
  </si>
  <si>
    <t>2.1.5.</t>
  </si>
  <si>
    <t>Ostala oprema</t>
  </si>
  <si>
    <t>kalorimetri</t>
  </si>
  <si>
    <t>2.1.5.2.</t>
  </si>
  <si>
    <t>2.1.5.3.</t>
  </si>
  <si>
    <t>dobava i ugradnja kanti za otpad</t>
  </si>
  <si>
    <t>2.1.5.4.</t>
  </si>
  <si>
    <t>štand oprema i materijal</t>
  </si>
  <si>
    <t>2.1.5.5.</t>
  </si>
  <si>
    <t>2.1.5.6.</t>
  </si>
  <si>
    <t xml:space="preserve">reflektori </t>
  </si>
  <si>
    <t>2.1.5.7.</t>
  </si>
  <si>
    <t>koferi za štand opremu</t>
  </si>
  <si>
    <t>2.1.5.8.</t>
  </si>
  <si>
    <t>priključni ormarići za izložbene prostore</t>
  </si>
  <si>
    <t>2.1.5.9.</t>
  </si>
  <si>
    <t>nova teretna vrata na paviljonima</t>
  </si>
  <si>
    <t>2.1.5.10.</t>
  </si>
  <si>
    <t>sušila za ruke</t>
  </si>
  <si>
    <t>2.2.</t>
  </si>
  <si>
    <t>ALAT, POGONSKI I  UREDSKI NAMJEŠTAJ I OSTALO</t>
  </si>
  <si>
    <t>2.2.1.</t>
  </si>
  <si>
    <t>zamjena dotrajalih distributivnih transformatora - kom 1</t>
  </si>
  <si>
    <t>2.2.2.</t>
  </si>
  <si>
    <t xml:space="preserve">telefonske i telegrafske centrale i pripadajući uređaji (mob) </t>
  </si>
  <si>
    <t>2.2.3.</t>
  </si>
  <si>
    <t>samohodni uređaj za pranje i čišćenje podova</t>
  </si>
  <si>
    <t>2.2.4.</t>
  </si>
  <si>
    <t>motorna pila, puhač lišća, kresač visokih grana, čistač okretnim četkama - AKU čistač, strujna klješta</t>
  </si>
  <si>
    <t>2.2.5.</t>
  </si>
  <si>
    <t>višenamjenski stroj za košnju trave</t>
  </si>
  <si>
    <t>2.2.6.</t>
  </si>
  <si>
    <t>ručni viličar</t>
  </si>
  <si>
    <t>2.2.7.</t>
  </si>
  <si>
    <t>stroj za zbrinjavanje biljnog otpada</t>
  </si>
  <si>
    <t>2.2.8.</t>
  </si>
  <si>
    <t>elektroizolacijski tepih srednji napon</t>
  </si>
  <si>
    <t>2.2.9.</t>
  </si>
  <si>
    <t>dogradnja kamiona košare s daljinskim upravljačem</t>
  </si>
  <si>
    <t>2.2.10.</t>
  </si>
  <si>
    <t>uredski namještaj</t>
  </si>
  <si>
    <t>2.2.11.</t>
  </si>
  <si>
    <t>hidraulička podizna platforma</t>
  </si>
  <si>
    <t>2.2.12.</t>
  </si>
  <si>
    <t>montažne ograde</t>
  </si>
  <si>
    <t>2.3.</t>
  </si>
  <si>
    <t>TRANSPORTNA SREDSTVA U CESTOVNOM PROMETU</t>
  </si>
  <si>
    <t>2.3.1.</t>
  </si>
  <si>
    <t>dva mala teretna vozila, otvoreni sanduk, B kategorija</t>
  </si>
  <si>
    <t>2.3.2.</t>
  </si>
  <si>
    <t>dva laka gospodarska vozila</t>
  </si>
  <si>
    <t>2.3.3.</t>
  </si>
  <si>
    <t>električni čelični viličar nosivosti do 2,5 t</t>
  </si>
  <si>
    <t>SVE DRUGE INVESTICIJE, od toga najviše:</t>
  </si>
  <si>
    <t>3.1.</t>
  </si>
  <si>
    <t>3.2.</t>
  </si>
  <si>
    <t>3.3.</t>
  </si>
  <si>
    <t>izrada konzervatorskog elaborata i podloga za zaštićene paviljone</t>
  </si>
  <si>
    <t>3.4.</t>
  </si>
  <si>
    <t>Izrada projektno-tehničke dokumentacije Paviljona 28 Đuro Đaković</t>
  </si>
  <si>
    <t>3.5.</t>
  </si>
  <si>
    <t xml:space="preserve">izrada tehničke dokumentacije sanacije krova paviljona 11A </t>
  </si>
  <si>
    <t>3.6.</t>
  </si>
  <si>
    <t>računalni programi, software</t>
  </si>
  <si>
    <t>3.7.</t>
  </si>
  <si>
    <t>3.8.</t>
  </si>
  <si>
    <t>izrada tehničke dokumentacije rekonstrukcija pav 22</t>
  </si>
  <si>
    <t>3.9.</t>
  </si>
  <si>
    <t>3.10.</t>
  </si>
  <si>
    <t>izrada tehničke dokumentacije rekonstrukcija i dogradnja sustava ventilacije i klimatizacije JU i pav 5</t>
  </si>
  <si>
    <t>3.11.</t>
  </si>
  <si>
    <t>UKUPNO 1+2+3</t>
  </si>
  <si>
    <t>Plan izvora financiranja investicija u dugotrajnu imovinu za 2025.</t>
  </si>
  <si>
    <t>- iznosi u eurima, bez centi
- udjeli u %-tku</t>
  </si>
  <si>
    <t>Izvori financiranja
investicija</t>
  </si>
  <si>
    <t>Nove
investicije</t>
  </si>
  <si>
    <t>Ukupno (9 + 10)</t>
  </si>
  <si>
    <t>Iznos</t>
  </si>
  <si>
    <t>Udjel</t>
  </si>
  <si>
    <t xml:space="preserve">I.
</t>
  </si>
  <si>
    <t>Osigurani izvori financiranja investicija,
u tome:</t>
  </si>
  <si>
    <t>Vlastita sredstva</t>
  </si>
  <si>
    <t>Tuđa sredstva, od toga:</t>
  </si>
  <si>
    <t>2.1.  Kredit banke</t>
  </si>
  <si>
    <t>2.2.  Financijski leasing</t>
  </si>
  <si>
    <t>2.3.  Proračun Grada Zagreba</t>
  </si>
  <si>
    <t>2.4.  Naknada za razvoj javne vodoopskrbe 
         i javne odvodnje</t>
  </si>
  <si>
    <t>2.5.  Fond za zaštitu okoliša
        i energetsku učinkovitost</t>
  </si>
  <si>
    <t>2.6.  Fondovi EU</t>
  </si>
  <si>
    <t>2.7.  Obveznice</t>
  </si>
  <si>
    <t>2.7.  Hrvatske vode</t>
  </si>
  <si>
    <t>2.8.  Proračuni jedinica lokalne i područne
        (regionalne) samouprave</t>
  </si>
  <si>
    <t>2.9.  Sva druga nespomenuta tuđa sredstva</t>
  </si>
  <si>
    <t>Ukupno osigurani izvori
financiranja investicija (I.)</t>
  </si>
  <si>
    <t>Neosigurani izvori financiranja investicija (II.)</t>
  </si>
  <si>
    <t>Ukupno  (I.+II.)</t>
  </si>
  <si>
    <t>Planirana vrijednost investicijskih ulaganja u dugotrajnu imovinu za 2025. 
prema namjeni i izvorima financiranja investicija</t>
  </si>
  <si>
    <t>1. Vlastita
sredstva</t>
  </si>
  <si>
    <t>2. Tuđa sredstva</t>
  </si>
  <si>
    <t>Ukupni izvori financiranja investicija
 (3 + 13)</t>
  </si>
  <si>
    <t>Krediti 
banke</t>
  </si>
  <si>
    <t>Financijski leasing</t>
  </si>
  <si>
    <t>Proračun Grada Zagreba</t>
  </si>
  <si>
    <t>Naknada iz cijene usluge za razvoj javne vodoopskrbe i javne odvodnje</t>
  </si>
  <si>
    <t>Fond za zaštitu okoliša i energetsku učinkovitost</t>
  </si>
  <si>
    <t>Fondovi EU</t>
  </si>
  <si>
    <t>Obveznice</t>
  </si>
  <si>
    <t>Hrvatske vode</t>
  </si>
  <si>
    <t>Proračuni jedinica lokalne samouprave</t>
  </si>
  <si>
    <t>Sva druga nespomenuta tuđa sredstva</t>
  </si>
  <si>
    <t>Ukupno tuđa sredstva
(4 do 12)</t>
  </si>
  <si>
    <t>nabava i ugradnja vanjskih led ekrana</t>
  </si>
  <si>
    <t>1. pisaći,računski i ostali strojevi</t>
  </si>
  <si>
    <t>2.Kompjutorsko informatička oprema</t>
  </si>
  <si>
    <t>foto oprema</t>
  </si>
  <si>
    <t>2.1.5.1.</t>
  </si>
  <si>
    <t>ostala oprema za obavljanje komunalnih djelatnosti - spremnici i stroj Karcher</t>
  </si>
  <si>
    <t>provedba energetskih pregleda i izrada Izvješća o provedenim energetskim pregledima paviljona 5,6,8,8a,8b,10,10a,11,11A,11d,34,39 i RK- zakon.obv.</t>
  </si>
  <si>
    <t>izrada tehničke dokumentacije (uređenje JU, pav.12, konf.dvorane RK, toaleta JU i pav.10a</t>
  </si>
  <si>
    <t xml:space="preserve">    4.        UKUPNO (1 do 3)</t>
  </si>
  <si>
    <t>Plan investicijskih ulaganja u dugotrajnu imovinu prema namjeni za 2025.</t>
  </si>
  <si>
    <t>Procjena ostvarenja</t>
  </si>
  <si>
    <t>1.20.</t>
  </si>
  <si>
    <t>1.21.</t>
  </si>
  <si>
    <t>kompjutersko informatička oprema</t>
  </si>
  <si>
    <t>Računala ,skeneri, printeri</t>
  </si>
  <si>
    <t>2.1.2.4.</t>
  </si>
  <si>
    <t xml:space="preserve">ostala oprema za obavljanje komunalnih djelatnosti </t>
  </si>
  <si>
    <t>ugradnja uređaja za komunikaciju putem GSM modula u dizala</t>
  </si>
  <si>
    <t>3.12.</t>
  </si>
  <si>
    <t>3.13.</t>
  </si>
  <si>
    <t>licence</t>
  </si>
  <si>
    <t>II. izmjene i dopune Plana investicija I. - XII. 2025.</t>
  </si>
  <si>
    <t>Ostvareno       I. - XII.2024.</t>
  </si>
  <si>
    <t xml:space="preserve">Prijenos nerealiziranih investicija </t>
  </si>
  <si>
    <t>II. izmjene i dopune Plana  2025.</t>
  </si>
  <si>
    <t>I. izmjene i dopune Plana  2025.</t>
  </si>
  <si>
    <t>Sanacija sjevernog opločenja uz paviljon 7 i 7a</t>
  </si>
  <si>
    <t>Sanacija pješačkog platoa, južne i sjeverne fasade prvog kata i oborinske odvodnje paviljona 25</t>
  </si>
  <si>
    <t>Zamjena dotrajale stolarije ulaza na južnom pročelju paviljona 12</t>
  </si>
  <si>
    <t>1.22.</t>
  </si>
  <si>
    <t>sigurnosne kamere</t>
  </si>
  <si>
    <t>ugradnja tehnološki naprednije umjesto postojeće rasvjete po objektima ZV-a radi poboljšanja energetske učinkovitosti; usluga postavljanja LED vanjske rasvjete na Pav.18,25,34</t>
  </si>
  <si>
    <t>vatrodojavne centrale  - zamjena starih - paviljoni 1, 5 ,10, 12, 34</t>
  </si>
  <si>
    <t>uređenje toaleta 8-8a, 7 i predvorja 8-8a jug -, dobava i ugradnja LED ekrana, rekonstrukcija temeljne odvodnje</t>
  </si>
  <si>
    <t>1.23.</t>
  </si>
  <si>
    <t>1.24.</t>
  </si>
  <si>
    <t>štand  namještaj (stolci, hladnjaci, vrata, vanjski namještaj)</t>
  </si>
  <si>
    <t xml:space="preserve">izrada tehničke dokumentacije: modernizacija vodocrpne stanice, ventailacija i klimatizacija, LED ekrani, revitalizacija informatičke infrastrukture, projektna dokumentacija i izrada izvedbenog elektrotehničkog projekta za izvedbu novog toaleta u pav.7 i 8/8A, sustava za detekciju i dojavu požara u pav.1, revizija i novelacija izvedbenog projekta sanacije ravnog krova pav.39 iz 2016. </t>
  </si>
  <si>
    <t>stručni, projektantski i obračunski nadzor na radovima sanacije prometnih površina i elemenata odvodnje, sanacije krova pav.29, podova sajamskih paviljona, zamjene vanjske stolarije na zgradama i paviljonima, uređenja toaleta i predvorja pav.7. 8 i 8A</t>
  </si>
  <si>
    <t>I. izmjene i dopune Plana I - XII 2025.</t>
  </si>
  <si>
    <t>dobava i ugradnja mjernih uređaja za daljinsko očitanje utroška energije i vode</t>
  </si>
  <si>
    <t>II. izmjene i dopune Plana  I. - XII. 2025.</t>
  </si>
  <si>
    <t>Ostvareno                               I. - XII. 2024.</t>
  </si>
  <si>
    <t xml:space="preserve">nova teretna i protuprovalna vrata </t>
  </si>
  <si>
    <t>panel pješačke barijere (zaštitna niska ograda)</t>
  </si>
  <si>
    <t xml:space="preserve">zamjena oštećenih ulaznih vrata novim </t>
  </si>
  <si>
    <t>1.25.</t>
  </si>
  <si>
    <t>AKU čistač, brojilo el.modul, mjerna strujna kliješta</t>
  </si>
  <si>
    <t>2.2.13.</t>
  </si>
  <si>
    <t>2.2.14.</t>
  </si>
  <si>
    <t>teretno vozilo do 3,5 t, otvoreni sanduk + kuka za vuču, B kategorija</t>
  </si>
  <si>
    <t>2.3.4.</t>
  </si>
  <si>
    <t>laserski metar kom 3 i laserski mjerač</t>
  </si>
  <si>
    <t>2.1.2.5.</t>
  </si>
  <si>
    <t>provedba energetskih pregleda i izrada Izvješća o provedenim energetskim pregledima paviljona 7, 12, 13, 23, JU, UZ I i UZ II- zakon.obv.</t>
  </si>
  <si>
    <t>studija najbolje namjene razvoja Kongresnog centra i pratećih sadržaja</t>
  </si>
  <si>
    <t>izrada tehničke dokumentacije za uklanjanje 10 građevina na otvorenom prostoru ZV</t>
  </si>
  <si>
    <t>izrada tehničke dokumentacije za potrebe pojačanog održavanja i obnova asfaltnih kolnika, sanacija i dopuna elemenata odvodnje</t>
  </si>
  <si>
    <t>izrada tehničke dokumentacije uređenja i proširenja toaleta i foajea pav. 8-8a</t>
  </si>
  <si>
    <t>izrada projektne dokumentacije za idejno rješenje nadstrešnice za bicikle i romobile na ZV-u</t>
  </si>
  <si>
    <t>3.14.</t>
  </si>
  <si>
    <t>.3.15.</t>
  </si>
  <si>
    <t>3.16.</t>
  </si>
  <si>
    <t>3.17.</t>
  </si>
  <si>
    <t>Usvojeni Plan                               I. - XII. 2025.</t>
  </si>
  <si>
    <t>Usvojeni Plan                     I-XII 2025.</t>
  </si>
  <si>
    <t>Ostvareno                      I - XII 2024.</t>
  </si>
  <si>
    <t>Usvojeni Plan                  I - XII 2025.</t>
  </si>
  <si>
    <t xml:space="preserve">Procjena ostvarenja 
</t>
  </si>
  <si>
    <t>Ukupno (7 + 8)</t>
  </si>
  <si>
    <t>6/3</t>
  </si>
  <si>
    <t>6/5</t>
  </si>
  <si>
    <t>9/6</t>
  </si>
  <si>
    <t>9/3</t>
  </si>
  <si>
    <t>9/7</t>
  </si>
  <si>
    <t>13/9</t>
  </si>
  <si>
    <t>1.26.</t>
  </si>
  <si>
    <t>2.2.15.</t>
  </si>
  <si>
    <t>2.2.16.</t>
  </si>
  <si>
    <t>PLAN BILANCE NA DAN 31.12.2025.</t>
  </si>
  <si>
    <t>Tablica 8</t>
  </si>
  <si>
    <t>-udjeli u %</t>
  </si>
  <si>
    <t>Redni
broj</t>
  </si>
  <si>
    <t>Naziv pozicije</t>
  </si>
  <si>
    <t>Stanje na dan</t>
  </si>
  <si>
    <t>Ostvareno
31.12.2024.</t>
  </si>
  <si>
    <t>Usvojeni Plan
31.12.2025.</t>
  </si>
  <si>
    <t>II. Izmjene i dopune Plana
31.12.2025.</t>
  </si>
  <si>
    <t xml:space="preserve">Udjel </t>
  </si>
  <si>
    <t>7/5</t>
  </si>
  <si>
    <t>AKTIVA</t>
  </si>
  <si>
    <t>A)</t>
  </si>
  <si>
    <t>Potraživanja za upisani, a neuplaćeni kapital</t>
  </si>
  <si>
    <t>B)</t>
  </si>
  <si>
    <t xml:space="preserve">Dugotrajna imovina: </t>
  </si>
  <si>
    <t>Nematerijalna imovina</t>
  </si>
  <si>
    <t>Materijalna imovina</t>
  </si>
  <si>
    <t>Dugotrajna financijska imovina</t>
  </si>
  <si>
    <t>Potraživanja</t>
  </si>
  <si>
    <t>Odgođena porezna imovina</t>
  </si>
  <si>
    <t>Ukupno dugotrajna imovina  (B)</t>
  </si>
  <si>
    <t>C)</t>
  </si>
  <si>
    <t>Kratkotrajna imovina:</t>
  </si>
  <si>
    <t>Zalihe</t>
  </si>
  <si>
    <t>Kratkotrajna financijska imovina</t>
  </si>
  <si>
    <t>Novac u banci i blagajni</t>
  </si>
  <si>
    <t>Ukupno kratkotrajna imovina  (C)</t>
  </si>
  <si>
    <t>D)</t>
  </si>
  <si>
    <t>Plaćeni troškovi budućeg razdoblja i obračunati prihodi</t>
  </si>
  <si>
    <t>E)</t>
  </si>
  <si>
    <t>UKUPNO AKTIVA (A + B + C + D)</t>
  </si>
  <si>
    <t>F)</t>
  </si>
  <si>
    <t>Izvanbilančni zapisi</t>
  </si>
  <si>
    <t>PASIVA</t>
  </si>
  <si>
    <t>Kapital i rezerve</t>
  </si>
  <si>
    <t>Temeljni (upisani) kapital</t>
  </si>
  <si>
    <t>Kapitalne rezerve</t>
  </si>
  <si>
    <t>Rezerve iz dobiti</t>
  </si>
  <si>
    <t>Revalorizacijske rezerve</t>
  </si>
  <si>
    <t>Rezerve fer vrijednosti</t>
  </si>
  <si>
    <t>Zadržana dobit ili preneseni gubitak</t>
  </si>
  <si>
    <t>Dobit ili gubitak poslovne godine</t>
  </si>
  <si>
    <t>Manjinski (nekontrolirajući) interes</t>
  </si>
  <si>
    <t>Ukupno kapital i rezerve (A)</t>
  </si>
  <si>
    <t xml:space="preserve">Rezerviranja </t>
  </si>
  <si>
    <t>Dugoročne obveze</t>
  </si>
  <si>
    <t>Obveze prema poduzetnicima unutar grupe</t>
  </si>
  <si>
    <t>Obveze za zajmove, depozite i slično poduzetnika unutar grupe</t>
  </si>
  <si>
    <t xml:space="preserve">Obveze prema društvima povezanim sudjelujućim interesom </t>
  </si>
  <si>
    <t>Obveze za zajmove, depozite i slično društava povezanih sudjelujućim interesom</t>
  </si>
  <si>
    <t>Obveze za zajmove, depozite i slično</t>
  </si>
  <si>
    <t>Obveze prema bankama i drugim financijskim institucijama</t>
  </si>
  <si>
    <t>Obveze za predujmove</t>
  </si>
  <si>
    <t>Obveze prema dobavljačima</t>
  </si>
  <si>
    <t>Obveze po vrijednosnim papirima</t>
  </si>
  <si>
    <t>Ostale dugoročne obveze</t>
  </si>
  <si>
    <t>Odgođena porezna obveza</t>
  </si>
  <si>
    <t>Ukupno dugoročne obveze  (C)</t>
  </si>
  <si>
    <t>Kratkoročne obveze</t>
  </si>
  <si>
    <t>Obveze prema zaposlenicima</t>
  </si>
  <si>
    <t>Obveze za poreze, doprinose i slična davanja</t>
  </si>
  <si>
    <t>Obveze s osnove udjela u rezultatu</t>
  </si>
  <si>
    <t>Obveze po osnovi dugotrajne imovine namijenjene prodaji</t>
  </si>
  <si>
    <t>Ostale kratkoročne obveze</t>
  </si>
  <si>
    <t>Ukupno kratkoročne obveze  (D)</t>
  </si>
  <si>
    <t>Odgođeno plaćanje troškova i prihodi budućeg razdoblja</t>
  </si>
  <si>
    <t>UKUPNO PASIVA (I. + II. + III. + IV. + V.)</t>
  </si>
  <si>
    <t>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</si>
</sst>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&quot;.&quot;"/>
    <numFmt numFmtId="165" formatCode="#,##0.0"/>
    <numFmt numFmtId="166" formatCode="General\.&quot; &quot;"/>
    <numFmt numFmtId="167" formatCode="0.0"/>
  </numFmts>
  <fonts count="81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9"/>
      <name val="Arial Narrow"/>
      <family val="2"/>
      <charset val="238"/>
    </font>
    <font>
      <sz val="7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7"/>
      <color rgb="FFFF0000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11"/>
      <color indexed="62"/>
      <name val="Arial Narrow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  <charset val="161"/>
    </font>
    <font>
      <i/>
      <sz val="9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8"/>
      <name val="Calibri"/>
      <family val="2"/>
      <charset val="238"/>
      <scheme val="minor"/>
    </font>
    <font>
      <b/>
      <sz val="9"/>
      <color theme="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0"/>
      <color theme="0"/>
      <name val="Arial"/>
      <family val="2"/>
    </font>
    <font>
      <b/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8"/>
      <color theme="0"/>
      <name val="Arial CE"/>
      <family val="2"/>
      <charset val="238"/>
    </font>
    <font>
      <b/>
      <sz val="10"/>
      <color theme="0"/>
      <name val="Arial"/>
      <family val="2"/>
      <charset val="161"/>
    </font>
    <font>
      <sz val="9"/>
      <name val="Arial CE"/>
    </font>
    <font>
      <sz val="11"/>
      <name val="Arial CE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b/>
      <sz val="16"/>
      <name val="Arial CE"/>
      <family val="2"/>
      <charset val="238"/>
    </font>
    <font>
      <sz val="9"/>
      <name val="Arial CE"/>
      <charset val="238"/>
    </font>
    <font>
      <sz val="9"/>
      <color rgb="FFFF0000"/>
      <name val="Arial CE"/>
      <charset val="238"/>
    </font>
    <font>
      <sz val="9"/>
      <name val="Arial CE"/>
      <family val="2"/>
      <charset val="238"/>
    </font>
    <font>
      <sz val="10"/>
      <name val="Arial CE"/>
    </font>
    <font>
      <sz val="8"/>
      <name val="Arial CE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b/>
      <sz val="10"/>
      <name val="Arial CE"/>
    </font>
    <font>
      <sz val="10"/>
      <name val="Arial CE"/>
      <family val="2"/>
      <charset val="238"/>
    </font>
    <font>
      <b/>
      <sz val="9"/>
      <color rgb="FF002060"/>
      <name val="Arial CE"/>
      <charset val="238"/>
    </font>
    <font>
      <b/>
      <sz val="9"/>
      <color rgb="FF002060"/>
      <name val="Arial CE"/>
      <family val="2"/>
      <charset val="238"/>
    </font>
    <font>
      <b/>
      <sz val="9"/>
      <color rgb="FF002060"/>
      <name val="Arial"/>
      <family val="2"/>
      <charset val="238"/>
    </font>
    <font>
      <b/>
      <sz val="9"/>
      <color rgb="FFFF0000"/>
      <name val="Arial CE"/>
      <charset val="238"/>
    </font>
    <font>
      <b/>
      <sz val="10"/>
      <color rgb="FF002060"/>
      <name val="Arial CE"/>
      <family val="2"/>
      <charset val="238"/>
    </font>
    <font>
      <sz val="9"/>
      <name val="Arial"/>
      <family val="2"/>
      <charset val="238"/>
    </font>
    <font>
      <sz val="9"/>
      <color theme="1"/>
      <name val="Arial CE"/>
      <charset val="238"/>
    </font>
    <font>
      <b/>
      <sz val="9"/>
      <color rgb="FF002060"/>
      <name val="Arial CE"/>
    </font>
    <font>
      <sz val="9"/>
      <color indexed="62"/>
      <name val="Arial CE"/>
    </font>
    <font>
      <sz val="9"/>
      <color indexed="56"/>
      <name val="Arial CE"/>
      <family val="2"/>
      <charset val="238"/>
    </font>
    <font>
      <sz val="9"/>
      <color indexed="56"/>
      <name val="Arial CE"/>
      <charset val="238"/>
    </font>
    <font>
      <sz val="10"/>
      <name val="Arial CE"/>
      <charset val="238"/>
    </font>
    <font>
      <sz val="9"/>
      <color theme="1"/>
      <name val="Arial CE"/>
      <family val="2"/>
      <charset val="238"/>
    </font>
    <font>
      <sz val="10"/>
      <color indexed="56"/>
      <name val="Arial CE"/>
      <family val="2"/>
      <charset val="238"/>
    </font>
    <font>
      <sz val="9"/>
      <color rgb="FF002060"/>
      <name val="Arial CE"/>
      <family val="2"/>
      <charset val="238"/>
    </font>
    <font>
      <sz val="10"/>
      <color rgb="FF002060"/>
      <name val="Arial CE"/>
      <family val="2"/>
      <charset val="238"/>
    </font>
    <font>
      <sz val="9"/>
      <color rgb="FF002060"/>
      <name val="Arial C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46" fillId="0" borderId="0"/>
  </cellStyleXfs>
  <cellXfs count="52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3" fontId="3" fillId="2" borderId="36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/>
    <xf numFmtId="3" fontId="8" fillId="2" borderId="36" xfId="0" applyNumberFormat="1" applyFont="1" applyFill="1" applyBorder="1" applyAlignment="1">
      <alignment horizontal="center" vertical="center"/>
    </xf>
    <xf numFmtId="0" fontId="8" fillId="0" borderId="0" xfId="0" applyFont="1"/>
    <xf numFmtId="0" fontId="12" fillId="0" borderId="0" xfId="2" applyFont="1"/>
    <xf numFmtId="0" fontId="15" fillId="0" borderId="0" xfId="2" applyFont="1" applyAlignment="1">
      <alignment horizontal="center" vertical="center"/>
    </xf>
    <xf numFmtId="0" fontId="16" fillId="0" borderId="0" xfId="0" applyFont="1"/>
    <xf numFmtId="0" fontId="19" fillId="0" borderId="0" xfId="2" applyFont="1"/>
    <xf numFmtId="0" fontId="12" fillId="0" borderId="0" xfId="2" applyFont="1" applyAlignment="1">
      <alignment vertical="center"/>
    </xf>
    <xf numFmtId="0" fontId="14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/>
      <protection locked="0"/>
    </xf>
    <xf numFmtId="0" fontId="12" fillId="0" borderId="0" xfId="2" applyFont="1" applyProtection="1">
      <protection locked="0"/>
    </xf>
    <xf numFmtId="0" fontId="16" fillId="0" borderId="9" xfId="2" applyFont="1" applyBorder="1" applyAlignment="1" applyProtection="1">
      <alignment horizontal="center" vertical="center"/>
      <protection locked="0"/>
    </xf>
    <xf numFmtId="0" fontId="16" fillId="0" borderId="36" xfId="2" applyFont="1" applyBorder="1" applyAlignment="1" applyProtection="1">
      <alignment horizontal="center" vertical="center"/>
      <protection locked="0"/>
    </xf>
    <xf numFmtId="0" fontId="16" fillId="0" borderId="20" xfId="2" applyFont="1" applyBorder="1" applyAlignment="1" applyProtection="1">
      <alignment horizontal="center" vertical="center"/>
      <protection locked="0"/>
    </xf>
    <xf numFmtId="0" fontId="16" fillId="0" borderId="0" xfId="2" applyFont="1" applyAlignment="1">
      <alignment vertical="center"/>
    </xf>
    <xf numFmtId="0" fontId="14" fillId="0" borderId="10" xfId="2" applyFont="1" applyBorder="1" applyAlignment="1" applyProtection="1">
      <alignment horizontal="center" vertical="center" wrapText="1"/>
      <protection locked="0"/>
    </xf>
    <xf numFmtId="0" fontId="14" fillId="0" borderId="0" xfId="2" applyFont="1" applyAlignment="1" applyProtection="1">
      <alignment horizontal="left" vertical="center" wrapText="1"/>
      <protection locked="0"/>
    </xf>
    <xf numFmtId="0" fontId="14" fillId="0" borderId="10" xfId="2" applyFont="1" applyBorder="1" applyAlignment="1" applyProtection="1">
      <alignment horizontal="center" vertical="center"/>
      <protection locked="0"/>
    </xf>
    <xf numFmtId="0" fontId="14" fillId="0" borderId="18" xfId="2" applyFont="1" applyBorder="1" applyAlignment="1" applyProtection="1">
      <alignment horizontal="center" vertical="center"/>
      <protection locked="0"/>
    </xf>
    <xf numFmtId="2" fontId="14" fillId="0" borderId="10" xfId="2" applyNumberFormat="1" applyFont="1" applyBorder="1" applyAlignment="1" applyProtection="1">
      <alignment horizontal="center" vertical="center"/>
      <protection locked="0"/>
    </xf>
    <xf numFmtId="2" fontId="14" fillId="0" borderId="0" xfId="2" applyNumberFormat="1" applyFont="1" applyAlignment="1" applyProtection="1">
      <alignment horizontal="center" vertical="center"/>
      <protection locked="0"/>
    </xf>
    <xf numFmtId="2" fontId="14" fillId="0" borderId="18" xfId="2" applyNumberFormat="1" applyFont="1" applyBorder="1" applyAlignment="1" applyProtection="1">
      <alignment horizontal="center" vertical="center"/>
      <protection locked="0"/>
    </xf>
    <xf numFmtId="0" fontId="14" fillId="0" borderId="0" xfId="2" applyFont="1" applyAlignment="1">
      <alignment vertical="center"/>
    </xf>
    <xf numFmtId="0" fontId="12" fillId="0" borderId="10" xfId="2" applyFont="1" applyBorder="1" applyAlignment="1">
      <alignment horizontal="right" vertical="center"/>
    </xf>
    <xf numFmtId="0" fontId="12" fillId="0" borderId="0" xfId="2" applyFont="1" applyAlignment="1" applyProtection="1">
      <alignment vertical="center"/>
      <protection locked="0"/>
    </xf>
    <xf numFmtId="3" fontId="12" fillId="0" borderId="10" xfId="2" applyNumberFormat="1" applyFont="1" applyBorder="1" applyAlignment="1">
      <alignment vertical="center"/>
    </xf>
    <xf numFmtId="3" fontId="12" fillId="0" borderId="18" xfId="2" applyNumberFormat="1" applyFont="1" applyBorder="1" applyAlignment="1">
      <alignment vertical="center"/>
    </xf>
    <xf numFmtId="3" fontId="12" fillId="0" borderId="10" xfId="2" applyNumberFormat="1" applyFont="1" applyBorder="1" applyAlignment="1" applyProtection="1">
      <alignment vertical="center"/>
      <protection locked="0"/>
    </xf>
    <xf numFmtId="3" fontId="12" fillId="0" borderId="0" xfId="2" applyNumberFormat="1" applyFont="1" applyAlignment="1" applyProtection="1">
      <alignment vertical="center"/>
      <protection locked="0"/>
    </xf>
    <xf numFmtId="3" fontId="12" fillId="0" borderId="0" xfId="2" applyNumberFormat="1" applyFont="1" applyAlignment="1">
      <alignment vertical="center"/>
    </xf>
    <xf numFmtId="2" fontId="12" fillId="0" borderId="18" xfId="2" applyNumberFormat="1" applyFont="1" applyBorder="1" applyAlignment="1">
      <alignment vertical="center"/>
    </xf>
    <xf numFmtId="165" fontId="12" fillId="0" borderId="0" xfId="2" applyNumberFormat="1" applyFont="1" applyAlignment="1">
      <alignment vertical="center"/>
    </xf>
    <xf numFmtId="165" fontId="12" fillId="0" borderId="18" xfId="2" applyNumberFormat="1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0" xfId="2" applyFont="1" applyAlignment="1" applyProtection="1">
      <alignment horizontal="left" vertical="center" wrapText="1"/>
      <protection locked="0"/>
    </xf>
    <xf numFmtId="0" fontId="12" fillId="2" borderId="0" xfId="2" applyFont="1" applyFill="1" applyAlignment="1" applyProtection="1">
      <alignment horizontal="left" vertical="center" wrapText="1"/>
      <protection locked="0"/>
    </xf>
    <xf numFmtId="0" fontId="12" fillId="0" borderId="10" xfId="2" applyFont="1" applyBorder="1" applyAlignment="1">
      <alignment horizontal="center" vertical="center"/>
    </xf>
    <xf numFmtId="3" fontId="23" fillId="0" borderId="10" xfId="2" applyNumberFormat="1" applyFont="1" applyBorder="1" applyAlignment="1" applyProtection="1">
      <alignment vertical="center"/>
      <protection locked="0"/>
    </xf>
    <xf numFmtId="3" fontId="23" fillId="0" borderId="18" xfId="2" applyNumberFormat="1" applyFont="1" applyBorder="1" applyAlignment="1">
      <alignment vertical="center"/>
    </xf>
    <xf numFmtId="3" fontId="23" fillId="0" borderId="0" xfId="2" applyNumberFormat="1" applyFont="1" applyAlignment="1" applyProtection="1">
      <alignment vertical="center"/>
      <protection locked="0"/>
    </xf>
    <xf numFmtId="3" fontId="23" fillId="0" borderId="0" xfId="2" applyNumberFormat="1" applyFont="1" applyAlignment="1">
      <alignment vertical="center"/>
    </xf>
    <xf numFmtId="2" fontId="23" fillId="0" borderId="18" xfId="2" applyNumberFormat="1" applyFont="1" applyBorder="1" applyAlignment="1">
      <alignment vertical="center"/>
    </xf>
    <xf numFmtId="165" fontId="23" fillId="0" borderId="0" xfId="2" applyNumberFormat="1" applyFont="1" applyAlignment="1">
      <alignment vertical="center"/>
    </xf>
    <xf numFmtId="165" fontId="23" fillId="0" borderId="18" xfId="2" applyNumberFormat="1" applyFont="1" applyBorder="1" applyAlignment="1">
      <alignment vertical="center"/>
    </xf>
    <xf numFmtId="0" fontId="14" fillId="0" borderId="0" xfId="2" applyFont="1"/>
    <xf numFmtId="3" fontId="12" fillId="0" borderId="0" xfId="2" applyNumberFormat="1" applyFont="1"/>
    <xf numFmtId="0" fontId="2" fillId="0" borderId="0" xfId="2"/>
    <xf numFmtId="0" fontId="24" fillId="0" borderId="0" xfId="2" applyFont="1" applyAlignment="1">
      <alignment vertical="center" wrapText="1"/>
    </xf>
    <xf numFmtId="0" fontId="2" fillId="0" borderId="17" xfId="2" applyBorder="1" applyAlignment="1">
      <alignment horizontal="left" vertical="center"/>
    </xf>
    <xf numFmtId="0" fontId="2" fillId="0" borderId="17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49" fontId="2" fillId="0" borderId="0" xfId="2" applyNumberFormat="1" applyAlignment="1" applyProtection="1">
      <alignment horizontal="right"/>
      <protection locked="0"/>
    </xf>
    <xf numFmtId="0" fontId="2" fillId="0" borderId="0" xfId="2" applyAlignment="1" applyProtection="1">
      <alignment horizontal="right" vertical="center"/>
      <protection locked="0"/>
    </xf>
    <xf numFmtId="49" fontId="25" fillId="0" borderId="7" xfId="2" applyNumberFormat="1" applyFont="1" applyBorder="1" applyAlignment="1" applyProtection="1">
      <alignment horizontal="center" vertical="center" wrapText="1"/>
      <protection locked="0"/>
    </xf>
    <xf numFmtId="49" fontId="25" fillId="0" borderId="16" xfId="2" applyNumberFormat="1" applyFont="1" applyBorder="1" applyAlignment="1" applyProtection="1">
      <alignment horizontal="center" vertical="center" wrapText="1"/>
      <protection locked="0"/>
    </xf>
    <xf numFmtId="0" fontId="27" fillId="0" borderId="26" xfId="2" applyFont="1" applyBorder="1" applyAlignment="1" applyProtection="1">
      <alignment horizontal="center" vertical="center"/>
      <protection locked="0"/>
    </xf>
    <xf numFmtId="0" fontId="27" fillId="0" borderId="27" xfId="2" applyFont="1" applyBorder="1" applyAlignment="1" applyProtection="1">
      <alignment horizontal="center" vertical="center"/>
      <protection locked="0"/>
    </xf>
    <xf numFmtId="0" fontId="27" fillId="0" borderId="29" xfId="2" applyFont="1" applyBorder="1" applyAlignment="1" applyProtection="1">
      <alignment horizontal="center" vertical="center"/>
      <protection locked="0"/>
    </xf>
    <xf numFmtId="0" fontId="27" fillId="0" borderId="42" xfId="2" applyFont="1" applyBorder="1" applyAlignment="1" applyProtection="1">
      <alignment horizontal="center" vertical="center"/>
      <protection locked="0"/>
    </xf>
    <xf numFmtId="14" fontId="10" fillId="0" borderId="19" xfId="0" applyNumberFormat="1" applyFont="1" applyBorder="1"/>
    <xf numFmtId="3" fontId="5" fillId="0" borderId="19" xfId="2" applyNumberFormat="1" applyFont="1" applyBorder="1" applyAlignment="1" applyProtection="1">
      <alignment vertical="center"/>
      <protection locked="0"/>
    </xf>
    <xf numFmtId="3" fontId="5" fillId="0" borderId="7" xfId="2" applyNumberFormat="1" applyFont="1" applyBorder="1" applyAlignment="1" applyProtection="1">
      <alignment vertical="center"/>
      <protection locked="0"/>
    </xf>
    <xf numFmtId="3" fontId="28" fillId="0" borderId="7" xfId="2" applyNumberFormat="1" applyFont="1" applyBorder="1" applyAlignment="1" applyProtection="1">
      <alignment vertical="center"/>
      <protection locked="0"/>
    </xf>
    <xf numFmtId="3" fontId="28" fillId="0" borderId="5" xfId="2" applyNumberFormat="1" applyFont="1" applyBorder="1" applyAlignment="1" applyProtection="1">
      <alignment vertical="center"/>
      <protection locked="0"/>
    </xf>
    <xf numFmtId="3" fontId="5" fillId="0" borderId="5" xfId="2" applyNumberFormat="1" applyFont="1" applyBorder="1" applyAlignment="1" applyProtection="1">
      <alignment vertical="center"/>
      <protection locked="0"/>
    </xf>
    <xf numFmtId="3" fontId="28" fillId="0" borderId="31" xfId="2" applyNumberFormat="1" applyFont="1" applyBorder="1" applyAlignment="1">
      <alignment vertical="center"/>
    </xf>
    <xf numFmtId="3" fontId="28" fillId="0" borderId="23" xfId="2" applyNumberFormat="1" applyFont="1" applyBorder="1" applyAlignment="1">
      <alignment vertical="center"/>
    </xf>
    <xf numFmtId="0" fontId="10" fillId="2" borderId="7" xfId="0" applyFont="1" applyFill="1" applyBorder="1" applyAlignment="1">
      <alignment wrapText="1"/>
    </xf>
    <xf numFmtId="3" fontId="5" fillId="0" borderId="30" xfId="2" applyNumberFormat="1" applyFont="1" applyBorder="1" applyAlignment="1" applyProtection="1">
      <alignment vertical="center"/>
      <protection locked="0"/>
    </xf>
    <xf numFmtId="14" fontId="10" fillId="2" borderId="19" xfId="0" applyNumberFormat="1" applyFont="1" applyFill="1" applyBorder="1"/>
    <xf numFmtId="3" fontId="5" fillId="2" borderId="30" xfId="2" applyNumberFormat="1" applyFont="1" applyFill="1" applyBorder="1" applyAlignment="1" applyProtection="1">
      <alignment vertical="center"/>
      <protection locked="0"/>
    </xf>
    <xf numFmtId="3" fontId="5" fillId="2" borderId="5" xfId="2" applyNumberFormat="1" applyFont="1" applyFill="1" applyBorder="1" applyAlignment="1" applyProtection="1">
      <alignment vertical="center"/>
      <protection locked="0"/>
    </xf>
    <xf numFmtId="3" fontId="28" fillId="2" borderId="5" xfId="2" applyNumberFormat="1" applyFont="1" applyFill="1" applyBorder="1" applyAlignment="1" applyProtection="1">
      <alignment vertical="center"/>
      <protection locked="0"/>
    </xf>
    <xf numFmtId="3" fontId="28" fillId="2" borderId="31" xfId="2" applyNumberFormat="1" applyFont="1" applyFill="1" applyBorder="1" applyAlignment="1">
      <alignment vertical="center"/>
    </xf>
    <xf numFmtId="3" fontId="28" fillId="2" borderId="23" xfId="2" applyNumberFormat="1" applyFont="1" applyFill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7" xfId="0" applyFont="1" applyBorder="1" applyAlignment="1">
      <alignment vertical="top" wrapText="1"/>
    </xf>
    <xf numFmtId="3" fontId="5" fillId="0" borderId="44" xfId="2" applyNumberFormat="1" applyFont="1" applyBorder="1" applyAlignment="1" applyProtection="1">
      <alignment vertical="center"/>
      <protection locked="0"/>
    </xf>
    <xf numFmtId="3" fontId="5" fillId="0" borderId="4" xfId="2" applyNumberFormat="1" applyFont="1" applyBorder="1" applyAlignment="1" applyProtection="1">
      <alignment vertical="center"/>
      <protection locked="0"/>
    </xf>
    <xf numFmtId="3" fontId="28" fillId="0" borderId="4" xfId="2" applyNumberFormat="1" applyFont="1" applyBorder="1" applyAlignment="1" applyProtection="1">
      <alignment vertical="center"/>
      <protection locked="0"/>
    </xf>
    <xf numFmtId="3" fontId="28" fillId="0" borderId="45" xfId="2" applyNumberFormat="1" applyFont="1" applyBorder="1" applyAlignment="1">
      <alignment vertical="center"/>
    </xf>
    <xf numFmtId="3" fontId="28" fillId="0" borderId="21" xfId="2" applyNumberFormat="1" applyFont="1" applyBorder="1" applyAlignment="1">
      <alignment vertical="center"/>
    </xf>
    <xf numFmtId="0" fontId="3" fillId="0" borderId="0" xfId="2" applyFont="1" applyAlignment="1">
      <alignment vertical="center" wrapText="1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0" applyFont="1"/>
    <xf numFmtId="0" fontId="16" fillId="0" borderId="7" xfId="2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vertical="center"/>
    </xf>
    <xf numFmtId="3" fontId="15" fillId="0" borderId="11" xfId="0" applyNumberFormat="1" applyFont="1" applyBorder="1" applyAlignment="1">
      <alignment vertical="center"/>
    </xf>
    <xf numFmtId="3" fontId="15" fillId="0" borderId="4" xfId="0" applyNumberFormat="1" applyFont="1" applyBorder="1" applyAlignment="1">
      <alignment vertical="center"/>
    </xf>
    <xf numFmtId="3" fontId="15" fillId="2" borderId="11" xfId="0" applyNumberFormat="1" applyFont="1" applyFill="1" applyBorder="1"/>
    <xf numFmtId="3" fontId="15" fillId="0" borderId="0" xfId="0" applyNumberFormat="1" applyFont="1"/>
    <xf numFmtId="0" fontId="15" fillId="0" borderId="4" xfId="0" applyFont="1" applyBorder="1"/>
    <xf numFmtId="3" fontId="15" fillId="0" borderId="4" xfId="0" applyNumberFormat="1" applyFont="1" applyBorder="1"/>
    <xf numFmtId="3" fontId="29" fillId="0" borderId="4" xfId="0" applyNumberFormat="1" applyFont="1" applyBorder="1"/>
    <xf numFmtId="0" fontId="29" fillId="0" borderId="0" xfId="0" applyFont="1"/>
    <xf numFmtId="0" fontId="15" fillId="0" borderId="4" xfId="0" applyFont="1" applyBorder="1" applyAlignment="1">
      <alignment vertical="center"/>
    </xf>
    <xf numFmtId="3" fontId="15" fillId="2" borderId="4" xfId="0" applyNumberFormat="1" applyFont="1" applyFill="1" applyBorder="1"/>
    <xf numFmtId="14" fontId="15" fillId="0" borderId="4" xfId="0" applyNumberFormat="1" applyFont="1" applyBorder="1"/>
    <xf numFmtId="0" fontId="13" fillId="0" borderId="11" xfId="0" quotePrefix="1" applyFont="1" applyBorder="1"/>
    <xf numFmtId="0" fontId="13" fillId="0" borderId="11" xfId="0" applyFont="1" applyBorder="1"/>
    <xf numFmtId="3" fontId="13" fillId="0" borderId="11" xfId="0" applyNumberFormat="1" applyFont="1" applyBorder="1"/>
    <xf numFmtId="0" fontId="15" fillId="0" borderId="4" xfId="0" quotePrefix="1" applyFont="1" applyBorder="1"/>
    <xf numFmtId="0" fontId="29" fillId="0" borderId="4" xfId="0" applyFont="1" applyBorder="1"/>
    <xf numFmtId="3" fontId="17" fillId="0" borderId="4" xfId="0" applyNumberFormat="1" applyFont="1" applyBorder="1"/>
    <xf numFmtId="0" fontId="29" fillId="0" borderId="4" xfId="0" quotePrefix="1" applyFont="1" applyBorder="1"/>
    <xf numFmtId="0" fontId="29" fillId="2" borderId="4" xfId="0" quotePrefix="1" applyFont="1" applyFill="1" applyBorder="1"/>
    <xf numFmtId="0" fontId="13" fillId="0" borderId="4" xfId="0" quotePrefix="1" applyFont="1" applyBorder="1"/>
    <xf numFmtId="0" fontId="13" fillId="0" borderId="4" xfId="0" applyFont="1" applyBorder="1"/>
    <xf numFmtId="3" fontId="13" fillId="0" borderId="4" xfId="0" applyNumberFormat="1" applyFont="1" applyBorder="1"/>
    <xf numFmtId="3" fontId="30" fillId="0" borderId="4" xfId="0" applyNumberFormat="1" applyFont="1" applyBorder="1"/>
    <xf numFmtId="0" fontId="15" fillId="2" borderId="4" xfId="0" quotePrefix="1" applyFont="1" applyFill="1" applyBorder="1"/>
    <xf numFmtId="0" fontId="15" fillId="0" borderId="4" xfId="0" applyFont="1" applyBorder="1" applyAlignment="1">
      <alignment wrapText="1"/>
    </xf>
    <xf numFmtId="14" fontId="13" fillId="0" borderId="4" xfId="0" applyNumberFormat="1" applyFont="1" applyBorder="1"/>
    <xf numFmtId="0" fontId="15" fillId="0" borderId="5" xfId="0" applyFont="1" applyBorder="1"/>
    <xf numFmtId="3" fontId="15" fillId="0" borderId="5" xfId="0" applyNumberFormat="1" applyFont="1" applyBorder="1"/>
    <xf numFmtId="3" fontId="17" fillId="0" borderId="5" xfId="0" applyNumberFormat="1" applyFont="1" applyBorder="1"/>
    <xf numFmtId="3" fontId="15" fillId="0" borderId="4" xfId="0" applyNumberFormat="1" applyFont="1" applyBorder="1" applyAlignment="1">
      <alignment horizontal="right" vertical="center"/>
    </xf>
    <xf numFmtId="3" fontId="17" fillId="0" borderId="4" xfId="0" applyNumberFormat="1" applyFont="1" applyBorder="1" applyAlignment="1">
      <alignment horizontal="right" vertical="center"/>
    </xf>
    <xf numFmtId="3" fontId="15" fillId="2" borderId="4" xfId="0" applyNumberFormat="1" applyFont="1" applyFill="1" applyBorder="1" applyAlignment="1">
      <alignment vertical="center"/>
    </xf>
    <xf numFmtId="0" fontId="15" fillId="0" borderId="4" xfId="0" applyFont="1" applyBorder="1" applyAlignment="1">
      <alignment vertical="top" wrapText="1"/>
    </xf>
    <xf numFmtId="0" fontId="15" fillId="0" borderId="4" xfId="0" applyFont="1" applyBorder="1" applyAlignment="1">
      <alignment vertical="center" wrapText="1"/>
    </xf>
    <xf numFmtId="14" fontId="15" fillId="0" borderId="4" xfId="0" applyNumberFormat="1" applyFont="1" applyBorder="1" applyAlignment="1">
      <alignment vertical="center"/>
    </xf>
    <xf numFmtId="0" fontId="22" fillId="0" borderId="0" xfId="2" applyFont="1"/>
    <xf numFmtId="3" fontId="22" fillId="0" borderId="4" xfId="0" applyNumberFormat="1" applyFont="1" applyBorder="1"/>
    <xf numFmtId="3" fontId="22" fillId="0" borderId="5" xfId="0" applyNumberFormat="1" applyFont="1" applyBorder="1"/>
    <xf numFmtId="0" fontId="22" fillId="0" borderId="0" xfId="0" applyFont="1"/>
    <xf numFmtId="0" fontId="19" fillId="0" borderId="0" xfId="2" applyFont="1" applyProtection="1">
      <protection locked="0"/>
    </xf>
    <xf numFmtId="0" fontId="21" fillId="0" borderId="9" xfId="2" applyFont="1" applyBorder="1" applyAlignment="1" applyProtection="1">
      <alignment horizontal="center" vertical="center"/>
      <protection locked="0"/>
    </xf>
    <xf numFmtId="0" fontId="20" fillId="0" borderId="10" xfId="2" applyFont="1" applyBorder="1" applyAlignment="1" applyProtection="1">
      <alignment horizontal="center" vertical="center"/>
      <protection locked="0"/>
    </xf>
    <xf numFmtId="3" fontId="19" fillId="0" borderId="10" xfId="2" applyNumberFormat="1" applyFont="1" applyBorder="1" applyAlignment="1" applyProtection="1">
      <alignment vertical="center"/>
      <protection locked="0"/>
    </xf>
    <xf numFmtId="3" fontId="4" fillId="0" borderId="9" xfId="0" applyNumberFormat="1" applyFont="1" applyBorder="1"/>
    <xf numFmtId="0" fontId="10" fillId="0" borderId="19" xfId="0" applyFont="1" applyBorder="1"/>
    <xf numFmtId="3" fontId="2" fillId="0" borderId="0" xfId="2" applyNumberFormat="1"/>
    <xf numFmtId="3" fontId="4" fillId="0" borderId="9" xfId="0" applyNumberFormat="1" applyFont="1" applyBorder="1" applyAlignment="1">
      <alignment vertical="center"/>
    </xf>
    <xf numFmtId="3" fontId="22" fillId="0" borderId="0" xfId="0" applyNumberFormat="1" applyFont="1"/>
    <xf numFmtId="0" fontId="31" fillId="0" borderId="0" xfId="0" applyFont="1"/>
    <xf numFmtId="0" fontId="18" fillId="0" borderId="4" xfId="0" applyFont="1" applyBorder="1"/>
    <xf numFmtId="49" fontId="18" fillId="0" borderId="4" xfId="2" applyNumberFormat="1" applyFont="1" applyBorder="1" applyAlignment="1">
      <alignment horizontal="left" vertical="center" wrapText="1"/>
    </xf>
    <xf numFmtId="0" fontId="18" fillId="0" borderId="4" xfId="0" applyFont="1" applyBorder="1" applyAlignment="1">
      <alignment wrapText="1"/>
    </xf>
    <xf numFmtId="4" fontId="15" fillId="0" borderId="11" xfId="0" applyNumberFormat="1" applyFont="1" applyBorder="1" applyAlignment="1">
      <alignment horizontal="left" wrapText="1"/>
    </xf>
    <xf numFmtId="4" fontId="10" fillId="2" borderId="4" xfId="0" applyNumberFormat="1" applyFont="1" applyFill="1" applyBorder="1" applyAlignment="1">
      <alignment wrapText="1"/>
    </xf>
    <xf numFmtId="0" fontId="10" fillId="0" borderId="19" xfId="0" applyFont="1" applyBorder="1" applyAlignment="1">
      <alignment vertical="center"/>
    </xf>
    <xf numFmtId="49" fontId="10" fillId="2" borderId="7" xfId="0" applyNumberFormat="1" applyFont="1" applyFill="1" applyBorder="1" applyAlignment="1">
      <alignment wrapText="1"/>
    </xf>
    <xf numFmtId="3" fontId="4" fillId="2" borderId="9" xfId="0" applyNumberFormat="1" applyFont="1" applyFill="1" applyBorder="1"/>
    <xf numFmtId="3" fontId="28" fillId="0" borderId="6" xfId="2" applyNumberFormat="1" applyFont="1" applyBorder="1" applyAlignment="1" applyProtection="1">
      <alignment vertical="center"/>
      <protection locked="0"/>
    </xf>
    <xf numFmtId="3" fontId="4" fillId="0" borderId="6" xfId="0" applyNumberFormat="1" applyFont="1" applyBorder="1"/>
    <xf numFmtId="0" fontId="10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left" vertical="center" wrapText="1"/>
    </xf>
    <xf numFmtId="3" fontId="14" fillId="0" borderId="0" xfId="2" applyNumberFormat="1" applyFont="1" applyAlignment="1">
      <alignment vertical="center"/>
    </xf>
    <xf numFmtId="0" fontId="5" fillId="0" borderId="27" xfId="2" applyFont="1" applyBorder="1" applyAlignment="1" applyProtection="1">
      <alignment horizontal="center" vertical="center"/>
      <protection locked="0"/>
    </xf>
    <xf numFmtId="3" fontId="32" fillId="0" borderId="7" xfId="0" applyNumberFormat="1" applyFont="1" applyBorder="1"/>
    <xf numFmtId="3" fontId="4" fillId="0" borderId="6" xfId="2" applyNumberFormat="1" applyFont="1" applyBorder="1" applyAlignment="1" applyProtection="1">
      <alignment vertical="center" wrapText="1"/>
      <protection locked="0"/>
    </xf>
    <xf numFmtId="3" fontId="3" fillId="0" borderId="0" xfId="0" applyNumberFormat="1" applyFont="1" applyAlignment="1">
      <alignment horizontal="center" vertical="center"/>
    </xf>
    <xf numFmtId="49" fontId="33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5" xfId="0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3" fontId="13" fillId="0" borderId="5" xfId="0" applyNumberFormat="1" applyFont="1" applyBorder="1" applyAlignment="1">
      <alignment horizontal="right" vertical="center"/>
    </xf>
    <xf numFmtId="0" fontId="34" fillId="3" borderId="7" xfId="0" applyFont="1" applyFill="1" applyBorder="1" applyAlignment="1">
      <alignment vertical="center"/>
    </xf>
    <xf numFmtId="0" fontId="35" fillId="3" borderId="7" xfId="0" applyFont="1" applyFill="1" applyBorder="1" applyAlignment="1">
      <alignment vertical="center"/>
    </xf>
    <xf numFmtId="3" fontId="35" fillId="3" borderId="7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6" fillId="2" borderId="7" xfId="0" applyFont="1" applyFill="1" applyBorder="1" applyAlignment="1">
      <alignment vertical="center"/>
    </xf>
    <xf numFmtId="3" fontId="36" fillId="2" borderId="7" xfId="0" applyNumberFormat="1" applyFont="1" applyFill="1" applyBorder="1" applyAlignment="1">
      <alignment vertical="center"/>
    </xf>
    <xf numFmtId="3" fontId="36" fillId="0" borderId="0" xfId="0" applyNumberFormat="1" applyFont="1" applyAlignment="1">
      <alignment vertical="center"/>
    </xf>
    <xf numFmtId="2" fontId="37" fillId="3" borderId="9" xfId="2" applyNumberFormat="1" applyFont="1" applyFill="1" applyBorder="1" applyAlignment="1" applyProtection="1">
      <alignment horizontal="center" vertical="center" wrapText="1"/>
      <protection locked="0"/>
    </xf>
    <xf numFmtId="2" fontId="37" fillId="3" borderId="36" xfId="2" applyNumberFormat="1" applyFont="1" applyFill="1" applyBorder="1" applyAlignment="1" applyProtection="1">
      <alignment horizontal="center" vertical="center" wrapText="1"/>
      <protection locked="0"/>
    </xf>
    <xf numFmtId="49" fontId="38" fillId="3" borderId="10" xfId="2" applyNumberFormat="1" applyFont="1" applyFill="1" applyBorder="1" applyAlignment="1" applyProtection="1">
      <alignment horizontal="center" vertical="center"/>
      <protection locked="0"/>
    </xf>
    <xf numFmtId="49" fontId="38" fillId="3" borderId="18" xfId="2" applyNumberFormat="1" applyFont="1" applyFill="1" applyBorder="1" applyAlignment="1" applyProtection="1">
      <alignment horizontal="center" vertical="center"/>
      <protection locked="0"/>
    </xf>
    <xf numFmtId="2" fontId="38" fillId="3" borderId="10" xfId="2" applyNumberFormat="1" applyFont="1" applyFill="1" applyBorder="1" applyAlignment="1" applyProtection="1">
      <alignment horizontal="center" vertical="center"/>
      <protection locked="0"/>
    </xf>
    <xf numFmtId="2" fontId="38" fillId="3" borderId="0" xfId="2" applyNumberFormat="1" applyFont="1" applyFill="1" applyAlignment="1" applyProtection="1">
      <alignment horizontal="center" vertical="center"/>
      <protection locked="0"/>
    </xf>
    <xf numFmtId="2" fontId="38" fillId="3" borderId="18" xfId="2" applyNumberFormat="1" applyFont="1" applyFill="1" applyBorder="1" applyAlignment="1" applyProtection="1">
      <alignment horizontal="center" vertical="center"/>
      <protection locked="0"/>
    </xf>
    <xf numFmtId="0" fontId="37" fillId="3" borderId="6" xfId="2" applyFont="1" applyFill="1" applyBorder="1" applyAlignment="1">
      <alignment horizontal="center" vertical="center"/>
    </xf>
    <xf numFmtId="0" fontId="37" fillId="3" borderId="22" xfId="2" applyFont="1" applyFill="1" applyBorder="1" applyAlignment="1" applyProtection="1">
      <alignment vertical="center" wrapText="1"/>
      <protection locked="0"/>
    </xf>
    <xf numFmtId="3" fontId="37" fillId="3" borderId="6" xfId="2" applyNumberFormat="1" applyFont="1" applyFill="1" applyBorder="1" applyAlignment="1">
      <alignment vertical="center"/>
    </xf>
    <xf numFmtId="3" fontId="37" fillId="3" borderId="25" xfId="2" applyNumberFormat="1" applyFont="1" applyFill="1" applyBorder="1" applyAlignment="1">
      <alignment vertical="center"/>
    </xf>
    <xf numFmtId="3" fontId="37" fillId="3" borderId="22" xfId="2" applyNumberFormat="1" applyFont="1" applyFill="1" applyBorder="1" applyAlignment="1">
      <alignment vertical="center"/>
    </xf>
    <xf numFmtId="2" fontId="37" fillId="3" borderId="25" xfId="2" applyNumberFormat="1" applyFont="1" applyFill="1" applyBorder="1" applyAlignment="1">
      <alignment vertical="center"/>
    </xf>
    <xf numFmtId="165" fontId="37" fillId="3" borderId="22" xfId="2" applyNumberFormat="1" applyFont="1" applyFill="1" applyBorder="1" applyAlignment="1">
      <alignment vertical="center"/>
    </xf>
    <xf numFmtId="165" fontId="37" fillId="3" borderId="25" xfId="2" applyNumberFormat="1" applyFont="1" applyFill="1" applyBorder="1" applyAlignment="1">
      <alignment vertical="center"/>
    </xf>
    <xf numFmtId="49" fontId="37" fillId="3" borderId="11" xfId="2" applyNumberFormat="1" applyFont="1" applyFill="1" applyBorder="1" applyAlignment="1" applyProtection="1">
      <alignment horizontal="center" vertical="center" wrapText="1"/>
      <protection locked="0"/>
    </xf>
    <xf numFmtId="0" fontId="40" fillId="3" borderId="36" xfId="0" applyFont="1" applyFill="1" applyBorder="1" applyAlignment="1">
      <alignment vertical="center" wrapText="1"/>
    </xf>
    <xf numFmtId="3" fontId="40" fillId="3" borderId="36" xfId="0" applyNumberFormat="1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vertical="center"/>
    </xf>
    <xf numFmtId="0" fontId="40" fillId="3" borderId="39" xfId="0" applyFont="1" applyFill="1" applyBorder="1" applyAlignment="1">
      <alignment vertical="center"/>
    </xf>
    <xf numFmtId="49" fontId="40" fillId="3" borderId="18" xfId="0" quotePrefix="1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40" fillId="3" borderId="9" xfId="0" applyFont="1" applyFill="1" applyBorder="1" applyAlignment="1">
      <alignment horizontal="right" vertical="center"/>
    </xf>
    <xf numFmtId="165" fontId="40" fillId="3" borderId="2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3" fontId="2" fillId="0" borderId="0" xfId="0" applyNumberFormat="1" applyFont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3" fontId="2" fillId="2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2" fillId="0" borderId="10" xfId="0" applyFont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2" fillId="2" borderId="10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165" fontId="2" fillId="2" borderId="18" xfId="0" applyNumberFormat="1" applyFont="1" applyFill="1" applyBorder="1" applyAlignment="1">
      <alignment horizontal="center" vertical="center"/>
    </xf>
    <xf numFmtId="165" fontId="2" fillId="0" borderId="50" xfId="0" applyNumberFormat="1" applyFont="1" applyBorder="1" applyAlignment="1">
      <alignment horizontal="center" vertical="center"/>
    </xf>
    <xf numFmtId="166" fontId="40" fillId="3" borderId="9" xfId="0" applyNumberFormat="1" applyFont="1" applyFill="1" applyBorder="1" applyAlignment="1">
      <alignment horizontal="right" vertical="center"/>
    </xf>
    <xf numFmtId="165" fontId="40" fillId="3" borderId="18" xfId="0" applyNumberFormat="1" applyFont="1" applyFill="1" applyBorder="1" applyAlignment="1">
      <alignment horizontal="center" vertical="center"/>
    </xf>
    <xf numFmtId="166" fontId="3" fillId="2" borderId="9" xfId="0" applyNumberFormat="1" applyFont="1" applyFill="1" applyBorder="1" applyAlignment="1">
      <alignment horizontal="right" vertical="center"/>
    </xf>
    <xf numFmtId="165" fontId="3" fillId="2" borderId="20" xfId="0" applyNumberFormat="1" applyFont="1" applyFill="1" applyBorder="1" applyAlignment="1">
      <alignment horizontal="center" vertical="center"/>
    </xf>
    <xf numFmtId="0" fontId="18" fillId="0" borderId="18" xfId="0" applyFont="1" applyBorder="1"/>
    <xf numFmtId="0" fontId="18" fillId="0" borderId="18" xfId="2" applyFont="1" applyBorder="1" applyAlignment="1">
      <alignment horizontal="left" vertical="center" wrapText="1"/>
    </xf>
    <xf numFmtId="3" fontId="15" fillId="0" borderId="11" xfId="0" applyNumberFormat="1" applyFont="1" applyBorder="1"/>
    <xf numFmtId="0" fontId="40" fillId="3" borderId="19" xfId="2" applyFont="1" applyFill="1" applyBorder="1" applyAlignment="1">
      <alignment horizontal="left" vertical="center"/>
    </xf>
    <xf numFmtId="0" fontId="42" fillId="3" borderId="25" xfId="2" applyFont="1" applyFill="1" applyBorder="1" applyAlignment="1" applyProtection="1">
      <alignment vertical="center"/>
      <protection locked="0"/>
    </xf>
    <xf numFmtId="3" fontId="40" fillId="3" borderId="5" xfId="2" applyNumberFormat="1" applyFont="1" applyFill="1" applyBorder="1" applyAlignment="1" applyProtection="1">
      <alignment vertical="center"/>
      <protection locked="0"/>
    </xf>
    <xf numFmtId="3" fontId="40" fillId="3" borderId="31" xfId="2" applyNumberFormat="1" applyFont="1" applyFill="1" applyBorder="1" applyAlignment="1">
      <alignment vertical="center"/>
    </xf>
    <xf numFmtId="3" fontId="40" fillId="3" borderId="23" xfId="2" applyNumberFormat="1" applyFont="1" applyFill="1" applyBorder="1" applyAlignment="1">
      <alignment vertical="center"/>
    </xf>
    <xf numFmtId="3" fontId="40" fillId="3" borderId="6" xfId="2" applyNumberFormat="1" applyFont="1" applyFill="1" applyBorder="1" applyAlignment="1" applyProtection="1">
      <alignment vertical="center"/>
      <protection locked="0"/>
    </xf>
    <xf numFmtId="3" fontId="40" fillId="3" borderId="30" xfId="2" applyNumberFormat="1" applyFont="1" applyFill="1" applyBorder="1" applyAlignment="1" applyProtection="1">
      <alignment vertical="center"/>
      <protection locked="0"/>
    </xf>
    <xf numFmtId="0" fontId="43" fillId="3" borderId="19" xfId="0" applyFont="1" applyFill="1" applyBorder="1" applyAlignment="1">
      <alignment vertical="center"/>
    </xf>
    <xf numFmtId="0" fontId="43" fillId="3" borderId="7" xfId="0" applyFont="1" applyFill="1" applyBorder="1" applyAlignment="1">
      <alignment vertical="center"/>
    </xf>
    <xf numFmtId="0" fontId="42" fillId="3" borderId="30" xfId="0" applyFont="1" applyFill="1" applyBorder="1" applyAlignment="1">
      <alignment vertical="center"/>
    </xf>
    <xf numFmtId="0" fontId="42" fillId="3" borderId="7" xfId="0" applyFont="1" applyFill="1" applyBorder="1" applyAlignment="1">
      <alignment vertical="center"/>
    </xf>
    <xf numFmtId="3" fontId="40" fillId="3" borderId="28" xfId="2" applyNumberFormat="1" applyFont="1" applyFill="1" applyBorder="1" applyAlignment="1">
      <alignment vertical="center"/>
    </xf>
    <xf numFmtId="3" fontId="40" fillId="3" borderId="26" xfId="2" applyNumberFormat="1" applyFont="1" applyFill="1" applyBorder="1" applyAlignment="1">
      <alignment vertical="center"/>
    </xf>
    <xf numFmtId="3" fontId="45" fillId="3" borderId="27" xfId="2" applyNumberFormat="1" applyFont="1" applyFill="1" applyBorder="1" applyAlignment="1">
      <alignment vertical="center"/>
    </xf>
    <xf numFmtId="3" fontId="40" fillId="3" borderId="27" xfId="2" applyNumberFormat="1" applyFont="1" applyFill="1" applyBorder="1" applyAlignment="1">
      <alignment vertical="center"/>
    </xf>
    <xf numFmtId="3" fontId="45" fillId="3" borderId="29" xfId="2" applyNumberFormat="1" applyFont="1" applyFill="1" applyBorder="1" applyAlignment="1">
      <alignment vertical="center"/>
    </xf>
    <xf numFmtId="3" fontId="45" fillId="3" borderId="42" xfId="2" applyNumberFormat="1" applyFont="1" applyFill="1" applyBorder="1" applyAlignment="1">
      <alignment vertical="center"/>
    </xf>
    <xf numFmtId="0" fontId="15" fillId="2" borderId="4" xfId="0" applyFont="1" applyFill="1" applyBorder="1"/>
    <xf numFmtId="3" fontId="4" fillId="0" borderId="12" xfId="0" applyNumberFormat="1" applyFont="1" applyBorder="1" applyAlignment="1">
      <alignment vertical="center"/>
    </xf>
    <xf numFmtId="14" fontId="10" fillId="0" borderId="43" xfId="0" applyNumberFormat="1" applyFont="1" applyBorder="1" applyAlignment="1">
      <alignment vertical="center"/>
    </xf>
    <xf numFmtId="49" fontId="33" fillId="3" borderId="7" xfId="2" applyNumberFormat="1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>
      <alignment wrapText="1"/>
    </xf>
    <xf numFmtId="0" fontId="18" fillId="2" borderId="4" xfId="0" applyFont="1" applyFill="1" applyBorder="1"/>
    <xf numFmtId="3" fontId="15" fillId="0" borderId="10" xfId="0" applyNumberFormat="1" applyFont="1" applyBorder="1" applyAlignment="1">
      <alignment horizontal="left" wrapText="1"/>
    </xf>
    <xf numFmtId="49" fontId="37" fillId="3" borderId="11" xfId="2" applyNumberFormat="1" applyFont="1" applyFill="1" applyBorder="1" applyAlignment="1" applyProtection="1">
      <alignment vertical="center" wrapText="1"/>
      <protection locked="0"/>
    </xf>
    <xf numFmtId="49" fontId="38" fillId="3" borderId="0" xfId="2" applyNumberFormat="1" applyFont="1" applyFill="1" applyAlignment="1" applyProtection="1">
      <alignment horizontal="center" vertical="center"/>
      <protection locked="0"/>
    </xf>
    <xf numFmtId="0" fontId="46" fillId="0" borderId="0" xfId="3" applyAlignment="1">
      <alignment vertical="center"/>
    </xf>
    <xf numFmtId="0" fontId="48" fillId="0" borderId="0" xfId="3" applyFont="1" applyAlignment="1" applyProtection="1">
      <alignment horizontal="left" vertical="center"/>
      <protection locked="0"/>
    </xf>
    <xf numFmtId="0" fontId="49" fillId="0" borderId="0" xfId="3" applyFont="1" applyAlignment="1" applyProtection="1">
      <alignment horizontal="left" vertical="center"/>
      <protection locked="0"/>
    </xf>
    <xf numFmtId="0" fontId="50" fillId="0" borderId="0" xfId="3" applyFont="1" applyAlignment="1" applyProtection="1">
      <alignment horizontal="left" vertical="center"/>
      <protection locked="0"/>
    </xf>
    <xf numFmtId="0" fontId="51" fillId="0" borderId="0" xfId="3" applyFont="1" applyAlignment="1" applyProtection="1">
      <alignment horizontal="left" vertical="center"/>
      <protection locked="0"/>
    </xf>
    <xf numFmtId="0" fontId="46" fillId="0" borderId="0" xfId="3"/>
    <xf numFmtId="49" fontId="52" fillId="0" borderId="0" xfId="3" applyNumberFormat="1" applyFont="1"/>
    <xf numFmtId="0" fontId="46" fillId="0" borderId="0" xfId="3" applyAlignment="1">
      <alignment horizontal="center"/>
    </xf>
    <xf numFmtId="49" fontId="49" fillId="0" borderId="0" xfId="3" applyNumberFormat="1" applyFont="1" applyAlignment="1">
      <alignment horizontal="centerContinuous"/>
    </xf>
    <xf numFmtId="49" fontId="53" fillId="0" borderId="0" xfId="3" applyNumberFormat="1" applyFont="1" applyAlignment="1">
      <alignment horizontal="centerContinuous" wrapText="1"/>
    </xf>
    <xf numFmtId="167" fontId="46" fillId="0" borderId="0" xfId="3" applyNumberFormat="1" applyAlignment="1">
      <alignment horizontal="centerContinuous"/>
    </xf>
    <xf numFmtId="3" fontId="54" fillId="0" borderId="0" xfId="3" applyNumberFormat="1" applyFont="1" applyAlignment="1">
      <alignment horizontal="centerContinuous"/>
    </xf>
    <xf numFmtId="167" fontId="46" fillId="0" borderId="0" xfId="3" applyNumberFormat="1"/>
    <xf numFmtId="3" fontId="55" fillId="0" borderId="0" xfId="3" applyNumberFormat="1" applyFont="1" applyAlignment="1">
      <alignment horizontal="centerContinuous"/>
    </xf>
    <xf numFmtId="49" fontId="56" fillId="0" borderId="0" xfId="3" applyNumberFormat="1" applyFont="1" applyAlignment="1">
      <alignment horizontal="right"/>
    </xf>
    <xf numFmtId="0" fontId="57" fillId="0" borderId="0" xfId="3" applyFont="1" applyAlignment="1">
      <alignment horizontal="left" vertical="top"/>
    </xf>
    <xf numFmtId="0" fontId="49" fillId="0" borderId="0" xfId="3" applyFont="1"/>
    <xf numFmtId="0" fontId="46" fillId="0" borderId="0" xfId="3" applyAlignment="1">
      <alignment horizontal="left" wrapText="1"/>
    </xf>
    <xf numFmtId="167" fontId="55" fillId="0" borderId="0" xfId="3" applyNumberFormat="1" applyFont="1"/>
    <xf numFmtId="49" fontId="46" fillId="0" borderId="0" xfId="3" applyNumberFormat="1" applyAlignment="1">
      <alignment horizontal="right"/>
    </xf>
    <xf numFmtId="0" fontId="50" fillId="0" borderId="0" xfId="3" applyFont="1" applyAlignment="1">
      <alignment vertical="center"/>
    </xf>
    <xf numFmtId="0" fontId="49" fillId="0" borderId="0" xfId="3" applyFont="1" applyAlignment="1">
      <alignment vertical="center"/>
    </xf>
    <xf numFmtId="3" fontId="49" fillId="0" borderId="7" xfId="3" applyNumberFormat="1" applyFont="1" applyBorder="1" applyAlignment="1">
      <alignment horizontal="centerContinuous" vertical="center"/>
    </xf>
    <xf numFmtId="167" fontId="49" fillId="0" borderId="7" xfId="3" applyNumberFormat="1" applyFont="1" applyBorder="1" applyAlignment="1">
      <alignment horizontal="centerContinuous" vertical="center"/>
    </xf>
    <xf numFmtId="3" fontId="60" fillId="0" borderId="7" xfId="3" applyNumberFormat="1" applyFont="1" applyBorder="1" applyAlignment="1">
      <alignment horizontal="centerContinuous" vertical="center"/>
    </xf>
    <xf numFmtId="167" fontId="49" fillId="0" borderId="9" xfId="3" applyNumberFormat="1" applyFont="1" applyBorder="1" applyAlignment="1">
      <alignment horizontal="centerContinuous" vertical="center"/>
    </xf>
    <xf numFmtId="167" fontId="49" fillId="0" borderId="33" xfId="3" applyNumberFormat="1" applyFont="1" applyBorder="1" applyAlignment="1">
      <alignment horizontal="centerContinuous" vertical="center"/>
    </xf>
    <xf numFmtId="49" fontId="49" fillId="0" borderId="31" xfId="3" applyNumberFormat="1" applyFont="1" applyBorder="1" applyAlignment="1">
      <alignment horizontal="center" vertical="center"/>
    </xf>
    <xf numFmtId="1" fontId="59" fillId="0" borderId="59" xfId="3" applyNumberFormat="1" applyFont="1" applyBorder="1" applyAlignment="1">
      <alignment horizontal="center" vertical="center"/>
    </xf>
    <xf numFmtId="1" fontId="59" fillId="0" borderId="28" xfId="3" applyNumberFormat="1" applyFont="1" applyBorder="1" applyAlignment="1">
      <alignment horizontal="center" vertical="center"/>
    </xf>
    <xf numFmtId="1" fontId="59" fillId="0" borderId="47" xfId="3" applyNumberFormat="1" applyFont="1" applyBorder="1" applyAlignment="1">
      <alignment horizontal="center" vertical="center"/>
    </xf>
    <xf numFmtId="1" fontId="59" fillId="0" borderId="27" xfId="3" applyNumberFormat="1" applyFont="1" applyBorder="1" applyAlignment="1">
      <alignment horizontal="center" vertical="center"/>
    </xf>
    <xf numFmtId="3" fontId="61" fillId="0" borderId="27" xfId="3" applyNumberFormat="1" applyFont="1" applyBorder="1" applyAlignment="1">
      <alignment horizontal="center" vertical="center"/>
    </xf>
    <xf numFmtId="1" fontId="59" fillId="0" borderId="60" xfId="3" applyNumberFormat="1" applyFont="1" applyBorder="1" applyAlignment="1">
      <alignment horizontal="center" vertical="center"/>
    </xf>
    <xf numFmtId="1" fontId="59" fillId="0" borderId="29" xfId="3" applyNumberFormat="1" applyFont="1" applyBorder="1" applyAlignment="1">
      <alignment horizontal="center" vertical="center"/>
    </xf>
    <xf numFmtId="1" fontId="59" fillId="0" borderId="0" xfId="3" applyNumberFormat="1" applyFont="1" applyAlignment="1">
      <alignment horizontal="center" vertical="center"/>
    </xf>
    <xf numFmtId="0" fontId="46" fillId="0" borderId="48" xfId="3" applyBorder="1" applyAlignment="1">
      <alignment horizontal="center" vertical="center"/>
    </xf>
    <xf numFmtId="49" fontId="49" fillId="0" borderId="36" xfId="3" applyNumberFormat="1" applyFont="1" applyBorder="1" applyAlignment="1">
      <alignment horizontal="centerContinuous" vertical="center"/>
    </xf>
    <xf numFmtId="49" fontId="62" fillId="0" borderId="36" xfId="3" applyNumberFormat="1" applyFont="1" applyBorder="1" applyAlignment="1">
      <alignment horizontal="left" vertical="center" wrapText="1"/>
    </xf>
    <xf numFmtId="0" fontId="49" fillId="0" borderId="14" xfId="3" applyFont="1" applyBorder="1" applyAlignment="1">
      <alignment horizontal="center"/>
    </xf>
    <xf numFmtId="167" fontId="54" fillId="0" borderId="45" xfId="3" applyNumberFormat="1" applyFont="1" applyBorder="1" applyAlignment="1">
      <alignment horizontal="right" vertical="center"/>
    </xf>
    <xf numFmtId="0" fontId="63" fillId="0" borderId="0" xfId="3" applyFont="1" applyAlignment="1">
      <alignment vertical="center"/>
    </xf>
    <xf numFmtId="164" fontId="64" fillId="0" borderId="8" xfId="3" applyNumberFormat="1" applyFont="1" applyBorder="1" applyAlignment="1">
      <alignment horizontal="center" vertical="center"/>
    </xf>
    <xf numFmtId="49" fontId="65" fillId="0" borderId="9" xfId="3" applyNumberFormat="1" applyFont="1" applyBorder="1" applyAlignment="1">
      <alignment horizontal="center" vertical="center"/>
    </xf>
    <xf numFmtId="0" fontId="66" fillId="0" borderId="20" xfId="3" applyFont="1" applyBorder="1" applyAlignment="1">
      <alignment horizontal="left" vertical="center"/>
    </xf>
    <xf numFmtId="167" fontId="65" fillId="0" borderId="7" xfId="3" applyNumberFormat="1" applyFont="1" applyBorder="1" applyAlignment="1">
      <alignment horizontal="right" vertical="center"/>
    </xf>
    <xf numFmtId="3" fontId="60" fillId="0" borderId="7" xfId="3" applyNumberFormat="1" applyFont="1" applyBorder="1" applyAlignment="1" applyProtection="1">
      <alignment horizontal="right" vertical="center"/>
      <protection locked="0"/>
    </xf>
    <xf numFmtId="167" fontId="65" fillId="0" borderId="9" xfId="3" applyNumberFormat="1" applyFont="1" applyBorder="1" applyAlignment="1">
      <alignment horizontal="right" vertical="center"/>
    </xf>
    <xf numFmtId="3" fontId="67" fillId="0" borderId="7" xfId="3" applyNumberFormat="1" applyFont="1" applyBorder="1" applyAlignment="1" applyProtection="1">
      <alignment horizontal="right" vertical="center"/>
      <protection locked="0"/>
    </xf>
    <xf numFmtId="167" fontId="65" fillId="0" borderId="33" xfId="3" applyNumberFormat="1" applyFont="1" applyBorder="1" applyAlignment="1">
      <alignment horizontal="right" vertical="center"/>
    </xf>
    <xf numFmtId="167" fontId="65" fillId="0" borderId="16" xfId="3" applyNumberFormat="1" applyFont="1" applyBorder="1" applyAlignment="1">
      <alignment horizontal="right" vertical="center"/>
    </xf>
    <xf numFmtId="0" fontId="68" fillId="0" borderId="0" xfId="3" applyFont="1" applyAlignment="1">
      <alignment vertical="center"/>
    </xf>
    <xf numFmtId="0" fontId="65" fillId="0" borderId="0" xfId="3" applyFont="1" applyAlignment="1">
      <alignment vertical="center"/>
    </xf>
    <xf numFmtId="164" fontId="56" fillId="0" borderId="8" xfId="3" applyNumberFormat="1" applyFont="1" applyBorder="1" applyAlignment="1">
      <alignment horizontal="center" vertical="center"/>
    </xf>
    <xf numFmtId="49" fontId="56" fillId="0" borderId="9" xfId="3" applyNumberFormat="1" applyFont="1" applyBorder="1" applyAlignment="1">
      <alignment horizontal="center" vertical="center"/>
    </xf>
    <xf numFmtId="0" fontId="69" fillId="0" borderId="20" xfId="3" applyFont="1" applyBorder="1" applyAlignment="1">
      <alignment horizontal="left" vertical="center" wrapText="1" indent="2"/>
    </xf>
    <xf numFmtId="3" fontId="56" fillId="0" borderId="7" xfId="3" applyNumberFormat="1" applyFont="1" applyBorder="1" applyAlignment="1">
      <alignment horizontal="right" vertical="center"/>
    </xf>
    <xf numFmtId="167" fontId="56" fillId="0" borderId="7" xfId="3" applyNumberFormat="1" applyFont="1" applyBorder="1" applyAlignment="1">
      <alignment horizontal="right" vertical="center"/>
    </xf>
    <xf numFmtId="3" fontId="54" fillId="4" borderId="7" xfId="3" applyNumberFormat="1" applyFont="1" applyFill="1" applyBorder="1" applyAlignment="1" applyProtection="1">
      <alignment horizontal="right" vertical="center"/>
      <protection locked="0"/>
    </xf>
    <xf numFmtId="167" fontId="56" fillId="0" borderId="9" xfId="3" applyNumberFormat="1" applyFont="1" applyBorder="1" applyAlignment="1">
      <alignment horizontal="right" vertical="center"/>
    </xf>
    <xf numFmtId="3" fontId="70" fillId="4" borderId="7" xfId="3" applyNumberFormat="1" applyFont="1" applyFill="1" applyBorder="1" applyAlignment="1" applyProtection="1">
      <alignment horizontal="right" vertical="center"/>
      <protection locked="0"/>
    </xf>
    <xf numFmtId="167" fontId="56" fillId="0" borderId="33" xfId="3" applyNumberFormat="1" applyFont="1" applyBorder="1" applyAlignment="1">
      <alignment horizontal="right" vertical="center"/>
    </xf>
    <xf numFmtId="167" fontId="56" fillId="0" borderId="16" xfId="3" applyNumberFormat="1" applyFont="1" applyBorder="1" applyAlignment="1">
      <alignment horizontal="right" vertical="center"/>
    </xf>
    <xf numFmtId="164" fontId="56" fillId="0" borderId="13" xfId="3" applyNumberFormat="1" applyFont="1" applyBorder="1" applyAlignment="1">
      <alignment horizontal="center" vertical="center"/>
    </xf>
    <xf numFmtId="49" fontId="56" fillId="0" borderId="12" xfId="3" applyNumberFormat="1" applyFont="1" applyBorder="1" applyAlignment="1">
      <alignment horizontal="center" vertical="center"/>
    </xf>
    <xf numFmtId="0" fontId="69" fillId="0" borderId="39" xfId="3" applyFont="1" applyBorder="1" applyAlignment="1">
      <alignment horizontal="left" vertical="center" wrapText="1" indent="2"/>
    </xf>
    <xf numFmtId="3" fontId="56" fillId="0" borderId="11" xfId="3" applyNumberFormat="1" applyFont="1" applyBorder="1" applyAlignment="1">
      <alignment horizontal="right" vertical="center"/>
    </xf>
    <xf numFmtId="167" fontId="56" fillId="0" borderId="11" xfId="3" applyNumberFormat="1" applyFont="1" applyBorder="1" applyAlignment="1">
      <alignment horizontal="right" vertical="center"/>
    </xf>
    <xf numFmtId="3" fontId="54" fillId="0" borderId="11" xfId="3" applyNumberFormat="1" applyFont="1" applyBorder="1" applyAlignment="1" applyProtection="1">
      <alignment horizontal="right" vertical="center"/>
      <protection locked="0"/>
    </xf>
    <xf numFmtId="167" fontId="56" fillId="0" borderId="12" xfId="3" applyNumberFormat="1" applyFont="1" applyBorder="1" applyAlignment="1">
      <alignment horizontal="right" vertical="center"/>
    </xf>
    <xf numFmtId="3" fontId="70" fillId="0" borderId="11" xfId="3" applyNumberFormat="1" applyFont="1" applyBorder="1" applyAlignment="1" applyProtection="1">
      <alignment horizontal="right" vertical="center"/>
      <protection locked="0"/>
    </xf>
    <xf numFmtId="167" fontId="56" fillId="0" borderId="34" xfId="3" applyNumberFormat="1" applyFont="1" applyBorder="1" applyAlignment="1">
      <alignment horizontal="right" vertical="center"/>
    </xf>
    <xf numFmtId="167" fontId="56" fillId="0" borderId="32" xfId="3" applyNumberFormat="1" applyFont="1" applyBorder="1" applyAlignment="1">
      <alignment horizontal="right" vertical="center"/>
    </xf>
    <xf numFmtId="0" fontId="56" fillId="0" borderId="0" xfId="3" applyFont="1" applyAlignment="1">
      <alignment vertical="center"/>
    </xf>
    <xf numFmtId="164" fontId="64" fillId="0" borderId="62" xfId="3" applyNumberFormat="1" applyFont="1" applyBorder="1" applyAlignment="1">
      <alignment horizontal="center" vertical="center"/>
    </xf>
    <xf numFmtId="49" fontId="64" fillId="0" borderId="63" xfId="3" applyNumberFormat="1" applyFont="1" applyBorder="1" applyAlignment="1">
      <alignment horizontal="center" vertical="center"/>
    </xf>
    <xf numFmtId="0" fontId="66" fillId="0" borderId="64" xfId="3" applyFont="1" applyBorder="1" applyAlignment="1">
      <alignment horizontal="left" vertical="center" wrapText="1"/>
    </xf>
    <xf numFmtId="3" fontId="64" fillId="0" borderId="65" xfId="3" applyNumberFormat="1" applyFont="1" applyBorder="1" applyAlignment="1">
      <alignment horizontal="right" vertical="center"/>
    </xf>
    <xf numFmtId="167" fontId="64" fillId="0" borderId="65" xfId="3" applyNumberFormat="1" applyFont="1" applyBorder="1" applyAlignment="1">
      <alignment horizontal="right" vertical="center"/>
    </xf>
    <xf numFmtId="167" fontId="64" fillId="0" borderId="63" xfId="3" applyNumberFormat="1" applyFont="1" applyBorder="1" applyAlignment="1">
      <alignment horizontal="right" vertical="center"/>
    </xf>
    <xf numFmtId="167" fontId="64" fillId="0" borderId="51" xfId="3" applyNumberFormat="1" applyFont="1" applyBorder="1" applyAlignment="1">
      <alignment horizontal="right" vertical="center"/>
    </xf>
    <xf numFmtId="167" fontId="54" fillId="0" borderId="66" xfId="3" applyNumberFormat="1" applyFont="1" applyBorder="1" applyAlignment="1">
      <alignment horizontal="right" vertical="center"/>
    </xf>
    <xf numFmtId="0" fontId="64" fillId="0" borderId="0" xfId="3" applyFont="1" applyAlignment="1">
      <alignment vertical="center"/>
    </xf>
    <xf numFmtId="164" fontId="64" fillId="0" borderId="49" xfId="3" applyNumberFormat="1" applyFont="1" applyBorder="1" applyAlignment="1">
      <alignment horizontal="center" vertical="center"/>
    </xf>
    <xf numFmtId="49" fontId="65" fillId="0" borderId="6" xfId="3" applyNumberFormat="1" applyFont="1" applyBorder="1" applyAlignment="1">
      <alignment horizontal="center" vertical="center"/>
    </xf>
    <xf numFmtId="0" fontId="66" fillId="0" borderId="25" xfId="3" applyFont="1" applyBorder="1" applyAlignment="1">
      <alignment horizontal="left" vertical="center"/>
    </xf>
    <xf numFmtId="167" fontId="65" fillId="0" borderId="5" xfId="3" applyNumberFormat="1" applyFont="1" applyBorder="1" applyAlignment="1">
      <alignment horizontal="right" vertical="center"/>
    </xf>
    <xf numFmtId="3" fontId="60" fillId="4" borderId="5" xfId="3" applyNumberFormat="1" applyFont="1" applyFill="1" applyBorder="1" applyAlignment="1" applyProtection="1">
      <alignment horizontal="right" vertical="center"/>
      <protection locked="0"/>
    </xf>
    <xf numFmtId="167" fontId="65" fillId="0" borderId="6" xfId="3" applyNumberFormat="1" applyFont="1" applyBorder="1" applyAlignment="1">
      <alignment horizontal="right" vertical="center"/>
    </xf>
    <xf numFmtId="3" fontId="67" fillId="4" borderId="5" xfId="3" applyNumberFormat="1" applyFont="1" applyFill="1" applyBorder="1" applyAlignment="1" applyProtection="1">
      <alignment horizontal="right" vertical="center"/>
      <protection locked="0"/>
    </xf>
    <xf numFmtId="167" fontId="65" fillId="0" borderId="52" xfId="3" applyNumberFormat="1" applyFont="1" applyBorder="1" applyAlignment="1">
      <alignment horizontal="right" vertical="center"/>
    </xf>
    <xf numFmtId="167" fontId="65" fillId="0" borderId="31" xfId="3" applyNumberFormat="1" applyFont="1" applyBorder="1" applyAlignment="1">
      <alignment horizontal="right" vertical="center"/>
    </xf>
    <xf numFmtId="0" fontId="71" fillId="0" borderId="0" xfId="3" applyFont="1" applyAlignment="1">
      <alignment vertical="center"/>
    </xf>
    <xf numFmtId="0" fontId="72" fillId="0" borderId="0" xfId="3" applyFont="1" applyAlignment="1">
      <alignment vertical="center"/>
    </xf>
    <xf numFmtId="3" fontId="54" fillId="0" borderId="7" xfId="3" applyNumberFormat="1" applyFont="1" applyBorder="1" applyAlignment="1" applyProtection="1">
      <alignment horizontal="right" vertical="center"/>
      <protection locked="0"/>
    </xf>
    <xf numFmtId="3" fontId="70" fillId="0" borderId="7" xfId="3" applyNumberFormat="1" applyFont="1" applyBorder="1" applyAlignment="1" applyProtection="1">
      <alignment horizontal="right" vertical="center"/>
      <protection locked="0"/>
    </xf>
    <xf numFmtId="0" fontId="73" fillId="0" borderId="0" xfId="3" applyFont="1" applyAlignment="1">
      <alignment vertical="center"/>
    </xf>
    <xf numFmtId="49" fontId="54" fillId="0" borderId="12" xfId="3" applyNumberFormat="1" applyFont="1" applyBorder="1" applyAlignment="1">
      <alignment horizontal="center" vertical="center"/>
    </xf>
    <xf numFmtId="3" fontId="54" fillId="0" borderId="11" xfId="3" applyNumberFormat="1" applyFont="1" applyBorder="1" applyAlignment="1">
      <alignment horizontal="right" vertical="center"/>
    </xf>
    <xf numFmtId="167" fontId="54" fillId="0" borderId="11" xfId="3" applyNumberFormat="1" applyFont="1" applyBorder="1" applyAlignment="1">
      <alignment horizontal="right" vertical="center"/>
    </xf>
    <xf numFmtId="167" fontId="54" fillId="0" borderId="12" xfId="3" applyNumberFormat="1" applyFont="1" applyBorder="1" applyAlignment="1">
      <alignment horizontal="right" vertical="center"/>
    </xf>
    <xf numFmtId="167" fontId="54" fillId="0" borderId="34" xfId="3" applyNumberFormat="1" applyFont="1" applyBorder="1" applyAlignment="1">
      <alignment horizontal="right" vertical="center"/>
    </xf>
    <xf numFmtId="167" fontId="54" fillId="0" borderId="32" xfId="3" applyNumberFormat="1" applyFont="1" applyBorder="1" applyAlignment="1">
      <alignment horizontal="right" vertical="center"/>
    </xf>
    <xf numFmtId="0" fontId="74" fillId="0" borderId="0" xfId="3" applyFont="1" applyAlignment="1">
      <alignment vertical="center"/>
    </xf>
    <xf numFmtId="164" fontId="64" fillId="0" borderId="62" xfId="3" applyNumberFormat="1" applyFont="1" applyBorder="1" applyAlignment="1">
      <alignment horizontal="center" vertical="top"/>
    </xf>
    <xf numFmtId="49" fontId="65" fillId="0" borderId="63" xfId="3" applyNumberFormat="1" applyFont="1" applyBorder="1" applyAlignment="1">
      <alignment horizontal="center" vertical="top" wrapText="1"/>
    </xf>
    <xf numFmtId="3" fontId="64" fillId="0" borderId="0" xfId="3" applyNumberFormat="1" applyFont="1" applyAlignment="1">
      <alignment vertical="center"/>
    </xf>
    <xf numFmtId="0" fontId="64" fillId="0" borderId="65" xfId="3" applyFont="1" applyBorder="1" applyAlignment="1">
      <alignment vertical="center"/>
    </xf>
    <xf numFmtId="0" fontId="67" fillId="0" borderId="10" xfId="3" applyFont="1" applyBorder="1" applyAlignment="1">
      <alignment vertical="center"/>
    </xf>
    <xf numFmtId="0" fontId="64" fillId="0" borderId="51" xfId="3" applyFont="1" applyBorder="1" applyAlignment="1">
      <alignment vertical="center"/>
    </xf>
    <xf numFmtId="164" fontId="65" fillId="0" borderId="67" xfId="3" applyNumberFormat="1" applyFont="1" applyBorder="1" applyAlignment="1">
      <alignment horizontal="center" vertical="center"/>
    </xf>
    <xf numFmtId="49" fontId="64" fillId="0" borderId="68" xfId="3" applyNumberFormat="1" applyFont="1" applyBorder="1" applyAlignment="1">
      <alignment horizontal="center" vertical="center"/>
    </xf>
    <xf numFmtId="0" fontId="66" fillId="0" borderId="69" xfId="3" applyFont="1" applyBorder="1" applyAlignment="1">
      <alignment horizontal="left" vertical="center"/>
    </xf>
    <xf numFmtId="3" fontId="71" fillId="0" borderId="70" xfId="3" applyNumberFormat="1" applyFont="1" applyBorder="1" applyAlignment="1">
      <alignment horizontal="right" vertical="center"/>
    </xf>
    <xf numFmtId="167" fontId="64" fillId="0" borderId="70" xfId="3" applyNumberFormat="1" applyFont="1" applyBorder="1" applyAlignment="1">
      <alignment horizontal="right" vertical="center"/>
    </xf>
    <xf numFmtId="3" fontId="64" fillId="0" borderId="65" xfId="3" applyNumberFormat="1" applyFont="1" applyBorder="1" applyAlignment="1" applyProtection="1">
      <alignment horizontal="right" vertical="center"/>
      <protection locked="0"/>
    </xf>
    <xf numFmtId="167" fontId="64" fillId="0" borderId="68" xfId="3" applyNumberFormat="1" applyFont="1" applyBorder="1" applyAlignment="1">
      <alignment horizontal="right" vertical="center"/>
    </xf>
    <xf numFmtId="167" fontId="64" fillId="0" borderId="71" xfId="3" applyNumberFormat="1" applyFont="1" applyBorder="1" applyAlignment="1">
      <alignment horizontal="right" vertical="center"/>
    </xf>
    <xf numFmtId="167" fontId="64" fillId="0" borderId="72" xfId="3" applyNumberFormat="1" applyFont="1" applyBorder="1" applyAlignment="1">
      <alignment horizontal="right" vertical="center"/>
    </xf>
    <xf numFmtId="164" fontId="75" fillId="0" borderId="0" xfId="3" applyNumberFormat="1" applyFont="1" applyAlignment="1">
      <alignment horizontal="left" vertical="center"/>
    </xf>
    <xf numFmtId="49" fontId="64" fillId="0" borderId="0" xfId="3" applyNumberFormat="1" applyFont="1" applyAlignment="1">
      <alignment horizontal="center" vertical="center"/>
    </xf>
    <xf numFmtId="0" fontId="66" fillId="0" borderId="0" xfId="3" applyFont="1" applyAlignment="1">
      <alignment horizontal="left" vertical="center"/>
    </xf>
    <xf numFmtId="167" fontId="64" fillId="0" borderId="0" xfId="3" applyNumberFormat="1" applyFont="1" applyAlignment="1">
      <alignment horizontal="right" vertical="center"/>
    </xf>
    <xf numFmtId="3" fontId="60" fillId="0" borderId="0" xfId="3" applyNumberFormat="1" applyFont="1" applyAlignment="1">
      <alignment horizontal="right" vertical="center"/>
    </xf>
    <xf numFmtId="3" fontId="67" fillId="0" borderId="10" xfId="3" applyNumberFormat="1" applyFont="1" applyBorder="1" applyAlignment="1">
      <alignment horizontal="right" vertical="center"/>
    </xf>
    <xf numFmtId="0" fontId="46" fillId="0" borderId="73" xfId="3" applyBorder="1" applyAlignment="1">
      <alignment horizontal="center" vertical="center"/>
    </xf>
    <xf numFmtId="49" fontId="49" fillId="0" borderId="14" xfId="3" applyNumberFormat="1" applyFont="1" applyBorder="1" applyAlignment="1">
      <alignment horizontal="centerContinuous" vertical="center"/>
    </xf>
    <xf numFmtId="49" fontId="62" fillId="0" borderId="14" xfId="3" applyNumberFormat="1" applyFont="1" applyBorder="1" applyAlignment="1">
      <alignment horizontal="left" vertical="center" wrapText="1"/>
    </xf>
    <xf numFmtId="167" fontId="56" fillId="0" borderId="74" xfId="3" applyNumberFormat="1" applyFont="1" applyBorder="1" applyAlignment="1">
      <alignment horizontal="right" vertical="center"/>
    </xf>
    <xf numFmtId="0" fontId="66" fillId="0" borderId="20" xfId="3" applyFont="1" applyBorder="1" applyAlignment="1">
      <alignment horizontal="left" vertical="center" wrapText="1"/>
    </xf>
    <xf numFmtId="3" fontId="76" fillId="0" borderId="7" xfId="3" applyNumberFormat="1" applyFont="1" applyBorder="1" applyAlignment="1">
      <alignment horizontal="right" vertical="center"/>
    </xf>
    <xf numFmtId="0" fontId="77" fillId="0" borderId="0" xfId="3" applyFont="1" applyAlignment="1">
      <alignment vertical="center"/>
    </xf>
    <xf numFmtId="3" fontId="76" fillId="4" borderId="7" xfId="3" applyNumberFormat="1" applyFont="1" applyFill="1" applyBorder="1" applyAlignment="1" applyProtection="1">
      <alignment horizontal="right" vertical="center"/>
      <protection locked="0"/>
    </xf>
    <xf numFmtId="3" fontId="46" fillId="0" borderId="0" xfId="3" applyNumberFormat="1" applyAlignment="1">
      <alignment vertical="center"/>
    </xf>
    <xf numFmtId="3" fontId="54" fillId="4" borderId="11" xfId="3" applyNumberFormat="1" applyFont="1" applyFill="1" applyBorder="1" applyAlignment="1" applyProtection="1">
      <alignment horizontal="right" vertical="center"/>
      <protection locked="0"/>
    </xf>
    <xf numFmtId="3" fontId="55" fillId="4" borderId="11" xfId="3" applyNumberFormat="1" applyFont="1" applyFill="1" applyBorder="1" applyAlignment="1" applyProtection="1">
      <alignment horizontal="right" vertical="center"/>
      <protection locked="0"/>
    </xf>
    <xf numFmtId="3" fontId="67" fillId="0" borderId="65" xfId="3" applyNumberFormat="1" applyFont="1" applyBorder="1" applyAlignment="1">
      <alignment horizontal="right" vertical="center"/>
    </xf>
    <xf numFmtId="164" fontId="56" fillId="0" borderId="75" xfId="3" applyNumberFormat="1" applyFont="1" applyBorder="1" applyAlignment="1">
      <alignment horizontal="center" vertical="center"/>
    </xf>
    <xf numFmtId="49" fontId="64" fillId="0" borderId="57" xfId="3" applyNumberFormat="1" applyFont="1" applyBorder="1" applyAlignment="1">
      <alignment horizontal="center" vertical="center"/>
    </xf>
    <xf numFmtId="0" fontId="66" fillId="0" borderId="76" xfId="3" applyFont="1" applyBorder="1" applyAlignment="1">
      <alignment horizontal="left" vertical="center"/>
    </xf>
    <xf numFmtId="3" fontId="78" fillId="0" borderId="77" xfId="3" applyNumberFormat="1" applyFont="1" applyBorder="1" applyAlignment="1">
      <alignment horizontal="right" vertical="center"/>
    </xf>
    <xf numFmtId="167" fontId="78" fillId="0" borderId="77" xfId="3" applyNumberFormat="1" applyFont="1" applyBorder="1" applyAlignment="1">
      <alignment horizontal="right" vertical="center"/>
    </xf>
    <xf numFmtId="3" fontId="54" fillId="4" borderId="77" xfId="3" applyNumberFormat="1" applyFont="1" applyFill="1" applyBorder="1" applyAlignment="1" applyProtection="1">
      <alignment horizontal="right" vertical="center"/>
      <protection locked="0"/>
    </xf>
    <xf numFmtId="167" fontId="78" fillId="0" borderId="57" xfId="3" applyNumberFormat="1" applyFont="1" applyBorder="1" applyAlignment="1">
      <alignment horizontal="right" vertical="center"/>
    </xf>
    <xf numFmtId="3" fontId="55" fillId="4" borderId="77" xfId="3" applyNumberFormat="1" applyFont="1" applyFill="1" applyBorder="1" applyAlignment="1" applyProtection="1">
      <alignment horizontal="right" vertical="center"/>
      <protection locked="0"/>
    </xf>
    <xf numFmtId="167" fontId="78" fillId="0" borderId="53" xfId="3" applyNumberFormat="1" applyFont="1" applyBorder="1" applyAlignment="1">
      <alignment horizontal="right" vertical="center"/>
    </xf>
    <xf numFmtId="167" fontId="78" fillId="0" borderId="78" xfId="3" applyNumberFormat="1" applyFont="1" applyBorder="1" applyAlignment="1">
      <alignment horizontal="right" vertical="center"/>
    </xf>
    <xf numFmtId="0" fontId="79" fillId="0" borderId="0" xfId="3" applyFont="1" applyAlignment="1">
      <alignment vertical="center"/>
    </xf>
    <xf numFmtId="0" fontId="80" fillId="0" borderId="0" xfId="3" applyFont="1" applyAlignment="1">
      <alignment vertical="center"/>
    </xf>
    <xf numFmtId="49" fontId="64" fillId="0" borderId="6" xfId="3" applyNumberFormat="1" applyFont="1" applyBorder="1" applyAlignment="1">
      <alignment horizontal="center" vertical="center"/>
    </xf>
    <xf numFmtId="3" fontId="78" fillId="0" borderId="5" xfId="3" applyNumberFormat="1" applyFont="1" applyBorder="1" applyAlignment="1">
      <alignment horizontal="right" vertical="center"/>
    </xf>
    <xf numFmtId="167" fontId="78" fillId="0" borderId="5" xfId="3" applyNumberFormat="1" applyFont="1" applyBorder="1" applyAlignment="1">
      <alignment horizontal="right" vertical="center"/>
    </xf>
    <xf numFmtId="3" fontId="54" fillId="4" borderId="5" xfId="3" applyNumberFormat="1" applyFont="1" applyFill="1" applyBorder="1" applyAlignment="1" applyProtection="1">
      <alignment horizontal="right" vertical="center"/>
      <protection locked="0"/>
    </xf>
    <xf numFmtId="167" fontId="78" fillId="0" borderId="6" xfId="3" applyNumberFormat="1" applyFont="1" applyBorder="1" applyAlignment="1">
      <alignment horizontal="right" vertical="center"/>
    </xf>
    <xf numFmtId="3" fontId="55" fillId="4" borderId="5" xfId="3" applyNumberFormat="1" applyFont="1" applyFill="1" applyBorder="1" applyAlignment="1" applyProtection="1">
      <alignment horizontal="right" vertical="center"/>
      <protection locked="0"/>
    </xf>
    <xf numFmtId="167" fontId="78" fillId="0" borderId="52" xfId="3" applyNumberFormat="1" applyFont="1" applyBorder="1" applyAlignment="1">
      <alignment horizontal="right" vertical="center"/>
    </xf>
    <xf numFmtId="167" fontId="78" fillId="0" borderId="31" xfId="3" applyNumberFormat="1" applyFont="1" applyBorder="1" applyAlignment="1">
      <alignment horizontal="right" vertical="center"/>
    </xf>
    <xf numFmtId="3" fontId="70" fillId="4" borderId="11" xfId="3" applyNumberFormat="1" applyFont="1" applyFill="1" applyBorder="1" applyAlignment="1" applyProtection="1">
      <alignment horizontal="right" vertical="center"/>
      <protection locked="0"/>
    </xf>
    <xf numFmtId="49" fontId="64" fillId="0" borderId="63" xfId="3" applyNumberFormat="1" applyFont="1" applyBorder="1" applyAlignment="1">
      <alignment horizontal="center" vertical="top" wrapText="1"/>
    </xf>
    <xf numFmtId="3" fontId="65" fillId="0" borderId="65" xfId="3" applyNumberFormat="1" applyFont="1" applyBorder="1" applyAlignment="1">
      <alignment horizontal="right" vertical="center"/>
    </xf>
    <xf numFmtId="167" fontId="65" fillId="0" borderId="65" xfId="3" applyNumberFormat="1" applyFont="1" applyBorder="1" applyAlignment="1">
      <alignment horizontal="right" vertical="center"/>
    </xf>
    <xf numFmtId="167" fontId="65" fillId="0" borderId="63" xfId="3" applyNumberFormat="1" applyFont="1" applyBorder="1" applyAlignment="1">
      <alignment horizontal="right" vertical="center"/>
    </xf>
    <xf numFmtId="167" fontId="65" fillId="0" borderId="51" xfId="3" applyNumberFormat="1" applyFont="1" applyBorder="1" applyAlignment="1">
      <alignment horizontal="right" vertical="center"/>
    </xf>
    <xf numFmtId="167" fontId="65" fillId="0" borderId="66" xfId="3" applyNumberFormat="1" applyFont="1" applyBorder="1" applyAlignment="1">
      <alignment horizontal="right" vertical="center"/>
    </xf>
    <xf numFmtId="164" fontId="65" fillId="0" borderId="79" xfId="3" applyNumberFormat="1" applyFont="1" applyBorder="1" applyAlignment="1">
      <alignment horizontal="center" vertical="center"/>
    </xf>
    <xf numFmtId="49" fontId="65" fillId="0" borderId="80" xfId="3" applyNumberFormat="1" applyFont="1" applyBorder="1" applyAlignment="1">
      <alignment horizontal="center" vertical="center"/>
    </xf>
    <xf numFmtId="0" fontId="66" fillId="0" borderId="81" xfId="3" applyFont="1" applyBorder="1" applyAlignment="1">
      <alignment horizontal="left" vertical="center"/>
    </xf>
    <xf numFmtId="3" fontId="65" fillId="0" borderId="82" xfId="3" applyNumberFormat="1" applyFont="1" applyBorder="1" applyAlignment="1">
      <alignment horizontal="right" vertical="center"/>
    </xf>
    <xf numFmtId="167" fontId="65" fillId="0" borderId="82" xfId="3" applyNumberFormat="1" applyFont="1" applyBorder="1" applyAlignment="1">
      <alignment horizontal="right" vertical="center"/>
    </xf>
    <xf numFmtId="167" fontId="65" fillId="0" borderId="80" xfId="3" applyNumberFormat="1" applyFont="1" applyBorder="1" applyAlignment="1">
      <alignment horizontal="right" vertical="center"/>
    </xf>
    <xf numFmtId="167" fontId="65" fillId="0" borderId="83" xfId="3" applyNumberFormat="1" applyFont="1" applyBorder="1" applyAlignment="1">
      <alignment horizontal="right" vertical="center"/>
    </xf>
    <xf numFmtId="167" fontId="65" fillId="0" borderId="84" xfId="3" applyNumberFormat="1" applyFont="1" applyBorder="1" applyAlignment="1">
      <alignment horizontal="right" vertical="center"/>
    </xf>
    <xf numFmtId="3" fontId="64" fillId="0" borderId="70" xfId="3" applyNumberFormat="1" applyFont="1" applyBorder="1" applyAlignment="1">
      <alignment horizontal="right" vertical="center"/>
    </xf>
    <xf numFmtId="3" fontId="54" fillId="0" borderId="0" xfId="3" applyNumberFormat="1" applyFont="1"/>
    <xf numFmtId="3" fontId="55" fillId="0" borderId="0" xfId="3" applyNumberFormat="1" applyFont="1"/>
    <xf numFmtId="3" fontId="46" fillId="0" borderId="0" xfId="3" applyNumberFormat="1"/>
    <xf numFmtId="0" fontId="2" fillId="0" borderId="0" xfId="0" applyFont="1"/>
    <xf numFmtId="0" fontId="3" fillId="0" borderId="0" xfId="0" applyFont="1"/>
    <xf numFmtId="0" fontId="41" fillId="3" borderId="35" xfId="1" applyFont="1" applyFill="1" applyBorder="1" applyAlignment="1" applyProtection="1">
      <alignment horizontal="center" vertical="center" wrapText="1"/>
      <protection locked="0"/>
    </xf>
    <xf numFmtId="0" fontId="41" fillId="3" borderId="0" xfId="1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vertical="center" wrapText="1"/>
    </xf>
    <xf numFmtId="0" fontId="40" fillId="3" borderId="35" xfId="0" applyFont="1" applyFill="1" applyBorder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49" fillId="0" borderId="14" xfId="3" applyFont="1" applyBorder="1" applyAlignment="1">
      <alignment horizontal="center"/>
    </xf>
    <xf numFmtId="0" fontId="49" fillId="0" borderId="40" xfId="3" applyFont="1" applyBorder="1" applyAlignment="1">
      <alignment horizontal="center"/>
    </xf>
    <xf numFmtId="0" fontId="49" fillId="0" borderId="61" xfId="3" applyFont="1" applyBorder="1" applyAlignment="1">
      <alignment horizontal="center"/>
    </xf>
    <xf numFmtId="0" fontId="47" fillId="4" borderId="0" xfId="3" applyFont="1" applyFill="1" applyAlignment="1" applyProtection="1">
      <alignment horizontal="left" vertical="center" wrapText="1"/>
      <protection locked="0"/>
    </xf>
    <xf numFmtId="49" fontId="52" fillId="0" borderId="0" xfId="3" applyNumberFormat="1" applyFont="1" applyAlignment="1">
      <alignment horizontal="center"/>
    </xf>
    <xf numFmtId="167" fontId="58" fillId="0" borderId="55" xfId="3" applyNumberFormat="1" applyFont="1" applyBorder="1" applyAlignment="1">
      <alignment horizontal="left"/>
    </xf>
    <xf numFmtId="0" fontId="59" fillId="0" borderId="1" xfId="3" applyFont="1" applyBorder="1" applyAlignment="1">
      <alignment horizontal="center" vertical="center" wrapText="1"/>
    </xf>
    <xf numFmtId="0" fontId="59" fillId="0" borderId="3" xfId="3" applyFont="1" applyBorder="1" applyAlignment="1">
      <alignment horizontal="center" vertical="center"/>
    </xf>
    <xf numFmtId="0" fontId="59" fillId="0" borderId="49" xfId="3" applyFont="1" applyBorder="1" applyAlignment="1">
      <alignment horizontal="center" vertical="center"/>
    </xf>
    <xf numFmtId="49" fontId="50" fillId="0" borderId="2" xfId="3" applyNumberFormat="1" applyFont="1" applyBorder="1" applyAlignment="1">
      <alignment horizontal="center" vertical="center" wrapText="1"/>
    </xf>
    <xf numFmtId="49" fontId="50" fillId="0" borderId="56" xfId="3" applyNumberFormat="1" applyFont="1" applyBorder="1" applyAlignment="1">
      <alignment horizontal="center" vertical="center" wrapText="1"/>
    </xf>
    <xf numFmtId="49" fontId="50" fillId="0" borderId="10" xfId="3" applyNumberFormat="1" applyFont="1" applyBorder="1" applyAlignment="1">
      <alignment horizontal="center" vertical="center" wrapText="1"/>
    </xf>
    <xf numFmtId="49" fontId="50" fillId="0" borderId="18" xfId="3" applyNumberFormat="1" applyFont="1" applyBorder="1" applyAlignment="1">
      <alignment horizontal="center" vertical="center" wrapText="1"/>
    </xf>
    <xf numFmtId="49" fontId="50" fillId="0" borderId="6" xfId="3" applyNumberFormat="1" applyFont="1" applyBorder="1" applyAlignment="1">
      <alignment horizontal="center" vertical="center" wrapText="1"/>
    </xf>
    <xf numFmtId="49" fontId="50" fillId="0" borderId="25" xfId="3" applyNumberFormat="1" applyFont="1" applyBorder="1" applyAlignment="1">
      <alignment horizontal="center" vertical="center" wrapText="1"/>
    </xf>
    <xf numFmtId="3" fontId="49" fillId="0" borderId="57" xfId="3" applyNumberFormat="1" applyFont="1" applyBorder="1" applyAlignment="1">
      <alignment horizontal="center" vertical="center"/>
    </xf>
    <xf numFmtId="3" fontId="49" fillId="0" borderId="54" xfId="3" applyNumberFormat="1" applyFont="1" applyBorder="1" applyAlignment="1">
      <alignment horizontal="center" vertical="center"/>
    </xf>
    <xf numFmtId="167" fontId="49" fillId="0" borderId="58" xfId="3" applyNumberFormat="1" applyFont="1" applyBorder="1" applyAlignment="1">
      <alignment horizontal="center" vertical="center" wrapText="1"/>
    </xf>
    <xf numFmtId="167" fontId="49" fillId="0" borderId="31" xfId="3" applyNumberFormat="1" applyFont="1" applyBorder="1" applyAlignment="1">
      <alignment horizontal="center" vertical="center" wrapText="1"/>
    </xf>
    <xf numFmtId="3" fontId="49" fillId="0" borderId="9" xfId="3" applyNumberFormat="1" applyFont="1" applyBorder="1" applyAlignment="1" applyProtection="1">
      <alignment horizontal="center" vertical="center" wrapText="1"/>
      <protection locked="0"/>
    </xf>
    <xf numFmtId="3" fontId="49" fillId="0" borderId="20" xfId="3" applyNumberFormat="1" applyFont="1" applyBorder="1" applyAlignment="1" applyProtection="1">
      <alignment horizontal="center" vertical="center"/>
      <protection locked="0"/>
    </xf>
    <xf numFmtId="3" fontId="49" fillId="0" borderId="36" xfId="3" applyNumberFormat="1" applyFont="1" applyBorder="1" applyAlignment="1" applyProtection="1">
      <alignment horizontal="center" vertical="center"/>
      <protection locked="0"/>
    </xf>
    <xf numFmtId="49" fontId="33" fillId="3" borderId="9" xfId="2" applyNumberFormat="1" applyFont="1" applyFill="1" applyBorder="1" applyAlignment="1" applyProtection="1">
      <alignment horizontal="center" vertical="center" wrapText="1"/>
      <protection locked="0"/>
    </xf>
    <xf numFmtId="49" fontId="33" fillId="3" borderId="36" xfId="2" applyNumberFormat="1" applyFont="1" applyFill="1" applyBorder="1" applyAlignment="1" applyProtection="1">
      <alignment horizontal="center" vertical="center" wrapText="1"/>
      <protection locked="0"/>
    </xf>
    <xf numFmtId="49" fontId="33" fillId="3" borderId="20" xfId="2" applyNumberFormat="1" applyFont="1" applyFill="1" applyBorder="1" applyAlignment="1" applyProtection="1">
      <alignment horizontal="center" vertical="center" wrapText="1"/>
      <protection locked="0"/>
    </xf>
    <xf numFmtId="49" fontId="33" fillId="3" borderId="11" xfId="2" applyNumberFormat="1" applyFont="1" applyFill="1" applyBorder="1" applyAlignment="1" applyProtection="1">
      <alignment horizontal="center" vertical="center" wrapText="1"/>
      <protection locked="0"/>
    </xf>
    <xf numFmtId="49" fontId="33" fillId="3" borderId="5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Alignment="1">
      <alignment horizontal="center" vertical="center"/>
    </xf>
    <xf numFmtId="0" fontId="15" fillId="0" borderId="22" xfId="2" applyFont="1" applyBorder="1" applyAlignment="1">
      <alignment horizontal="right"/>
    </xf>
    <xf numFmtId="0" fontId="0" fillId="0" borderId="22" xfId="0" applyBorder="1" applyAlignment="1">
      <alignment horizontal="right"/>
    </xf>
    <xf numFmtId="49" fontId="33" fillId="3" borderId="7" xfId="2" applyNumberFormat="1" applyFont="1" applyFill="1" applyBorder="1" applyAlignment="1" applyProtection="1">
      <alignment horizontal="center" vertical="center" wrapText="1"/>
      <protection locked="0"/>
    </xf>
    <xf numFmtId="49" fontId="33" fillId="3" borderId="7" xfId="2" applyNumberFormat="1" applyFont="1" applyFill="1" applyBorder="1" applyAlignment="1" applyProtection="1">
      <alignment horizontal="center" vertical="center"/>
      <protection locked="0"/>
    </xf>
    <xf numFmtId="49" fontId="33" fillId="3" borderId="20" xfId="2" applyNumberFormat="1" applyFont="1" applyFill="1" applyBorder="1" applyAlignment="1" applyProtection="1">
      <alignment horizontal="center" vertical="center"/>
      <protection locked="0"/>
    </xf>
    <xf numFmtId="49" fontId="33" fillId="3" borderId="9" xfId="2" applyNumberFormat="1" applyFont="1" applyFill="1" applyBorder="1" applyAlignment="1" applyProtection="1">
      <alignment horizontal="center" vertical="center"/>
      <protection locked="0"/>
    </xf>
    <xf numFmtId="49" fontId="33" fillId="3" borderId="36" xfId="2" applyNumberFormat="1" applyFont="1" applyFill="1" applyBorder="1" applyAlignment="1" applyProtection="1">
      <alignment horizontal="center" vertical="center"/>
      <protection locked="0"/>
    </xf>
    <xf numFmtId="2" fontId="37" fillId="3" borderId="36" xfId="2" applyNumberFormat="1" applyFont="1" applyFill="1" applyBorder="1" applyAlignment="1" applyProtection="1">
      <alignment horizontal="center" vertical="center" wrapText="1"/>
      <protection locked="0"/>
    </xf>
    <xf numFmtId="2" fontId="37" fillId="3" borderId="20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49" fontId="12" fillId="0" borderId="0" xfId="2" applyNumberFormat="1" applyFont="1" applyAlignment="1" applyProtection="1">
      <alignment horizontal="right" wrapText="1"/>
      <protection locked="0"/>
    </xf>
    <xf numFmtId="49" fontId="37" fillId="3" borderId="12" xfId="2" applyNumberFormat="1" applyFont="1" applyFill="1" applyBorder="1" applyAlignment="1" applyProtection="1">
      <alignment horizontal="center" vertical="center" wrapText="1"/>
      <protection locked="0"/>
    </xf>
    <xf numFmtId="49" fontId="37" fillId="3" borderId="10" xfId="2" applyNumberFormat="1" applyFont="1" applyFill="1" applyBorder="1" applyAlignment="1" applyProtection="1">
      <alignment horizontal="center" vertical="center" wrapText="1"/>
      <protection locked="0"/>
    </xf>
    <xf numFmtId="49" fontId="37" fillId="3" borderId="10" xfId="2" applyNumberFormat="1" applyFont="1" applyFill="1" applyBorder="1" applyAlignment="1" applyProtection="1">
      <alignment horizontal="center" vertical="center"/>
      <protection locked="0"/>
    </xf>
    <xf numFmtId="49" fontId="37" fillId="3" borderId="35" xfId="2" applyNumberFormat="1" applyFont="1" applyFill="1" applyBorder="1" applyAlignment="1" applyProtection="1">
      <alignment horizontal="center" vertical="center" wrapText="1"/>
      <protection locked="0"/>
    </xf>
    <xf numFmtId="49" fontId="37" fillId="3" borderId="0" xfId="2" applyNumberFormat="1" applyFont="1" applyFill="1" applyAlignment="1" applyProtection="1">
      <alignment horizontal="center" vertical="center" wrapText="1"/>
      <protection locked="0"/>
    </xf>
    <xf numFmtId="49" fontId="37" fillId="3" borderId="0" xfId="2" applyNumberFormat="1" applyFont="1" applyFill="1" applyAlignment="1" applyProtection="1">
      <alignment horizontal="center" vertical="center"/>
      <protection locked="0"/>
    </xf>
    <xf numFmtId="49" fontId="37" fillId="3" borderId="11" xfId="2" applyNumberFormat="1" applyFont="1" applyFill="1" applyBorder="1" applyAlignment="1" applyProtection="1">
      <alignment horizontal="center" vertical="center" wrapText="1"/>
      <protection locked="0"/>
    </xf>
    <xf numFmtId="49" fontId="37" fillId="3" borderId="4" xfId="2" applyNumberFormat="1" applyFont="1" applyFill="1" applyBorder="1" applyAlignment="1" applyProtection="1">
      <alignment horizontal="center" vertical="center" wrapText="1"/>
      <protection locked="0"/>
    </xf>
    <xf numFmtId="49" fontId="37" fillId="3" borderId="35" xfId="2" applyNumberFormat="1" applyFont="1" applyFill="1" applyBorder="1" applyAlignment="1" applyProtection="1">
      <alignment horizontal="center" vertical="center"/>
      <protection locked="0"/>
    </xf>
    <xf numFmtId="49" fontId="37" fillId="3" borderId="39" xfId="2" applyNumberFormat="1" applyFont="1" applyFill="1" applyBorder="1" applyAlignment="1" applyProtection="1">
      <alignment horizontal="center" vertical="center"/>
      <protection locked="0"/>
    </xf>
    <xf numFmtId="49" fontId="37" fillId="3" borderId="18" xfId="2" applyNumberFormat="1" applyFont="1" applyFill="1" applyBorder="1" applyAlignment="1" applyProtection="1">
      <alignment horizontal="center" vertical="center"/>
      <protection locked="0"/>
    </xf>
    <xf numFmtId="49" fontId="37" fillId="3" borderId="7" xfId="2" applyNumberFormat="1" applyFont="1" applyFill="1" applyBorder="1" applyAlignment="1" applyProtection="1">
      <alignment horizontal="center" vertical="center" wrapText="1"/>
      <protection locked="0"/>
    </xf>
    <xf numFmtId="49" fontId="37" fillId="3" borderId="18" xfId="2" applyNumberFormat="1" applyFont="1" applyFill="1" applyBorder="1" applyAlignment="1" applyProtection="1">
      <alignment horizontal="center" vertical="center" wrapText="1"/>
      <protection locked="0"/>
    </xf>
    <xf numFmtId="2" fontId="37" fillId="3" borderId="9" xfId="2" applyNumberFormat="1" applyFont="1" applyFill="1" applyBorder="1" applyAlignment="1" applyProtection="1">
      <alignment horizontal="center" vertical="center" wrapText="1"/>
      <protection locked="0"/>
    </xf>
    <xf numFmtId="0" fontId="44" fillId="3" borderId="46" xfId="2" applyFont="1" applyFill="1" applyBorder="1" applyAlignment="1" applyProtection="1">
      <alignment vertical="center"/>
      <protection locked="0"/>
    </xf>
    <xf numFmtId="0" fontId="44" fillId="3" borderId="47" xfId="2" applyFont="1" applyFill="1" applyBorder="1" applyAlignment="1" applyProtection="1">
      <alignment vertical="center"/>
      <protection locked="0"/>
    </xf>
    <xf numFmtId="0" fontId="3" fillId="0" borderId="0" xfId="2" applyFont="1" applyAlignment="1">
      <alignment horizontal="left" vertical="center" wrapText="1"/>
    </xf>
    <xf numFmtId="0" fontId="24" fillId="0" borderId="0" xfId="2" applyFont="1" applyAlignment="1">
      <alignment horizontal="center" vertical="center" wrapText="1"/>
    </xf>
    <xf numFmtId="49" fontId="25" fillId="0" borderId="37" xfId="2" applyNumberFormat="1" applyFont="1" applyBorder="1" applyAlignment="1" applyProtection="1">
      <alignment horizontal="center" vertical="center" wrapText="1"/>
      <protection locked="0"/>
    </xf>
    <xf numFmtId="49" fontId="25" fillId="0" borderId="30" xfId="2" applyNumberFormat="1" applyFont="1" applyBorder="1" applyAlignment="1" applyProtection="1">
      <alignment horizontal="center" vertical="center" wrapText="1"/>
      <protection locked="0"/>
    </xf>
    <xf numFmtId="49" fontId="25" fillId="0" borderId="19" xfId="2" applyNumberFormat="1" applyFont="1" applyBorder="1" applyAlignment="1" applyProtection="1">
      <alignment horizontal="center" vertical="center"/>
      <protection locked="0"/>
    </xf>
    <xf numFmtId="49" fontId="26" fillId="0" borderId="38" xfId="2" applyNumberFormat="1" applyFont="1" applyBorder="1" applyAlignment="1" applyProtection="1">
      <alignment horizontal="center" vertical="center" wrapText="1"/>
      <protection locked="0"/>
    </xf>
    <xf numFmtId="49" fontId="26" fillId="0" borderId="25" xfId="2" applyNumberFormat="1" applyFont="1" applyBorder="1" applyAlignment="1" applyProtection="1">
      <alignment horizontal="center" vertical="center" wrapText="1"/>
      <protection locked="0"/>
    </xf>
    <xf numFmtId="49" fontId="26" fillId="0" borderId="20" xfId="2" applyNumberFormat="1" applyFont="1" applyBorder="1" applyAlignment="1" applyProtection="1">
      <alignment horizontal="center" vertical="center"/>
      <protection locked="0"/>
    </xf>
    <xf numFmtId="49" fontId="39" fillId="3" borderId="40" xfId="2" applyNumberFormat="1" applyFont="1" applyFill="1" applyBorder="1" applyAlignment="1" applyProtection="1">
      <alignment horizontal="center" vertical="center" wrapText="1"/>
      <protection locked="0"/>
    </xf>
    <xf numFmtId="49" fontId="39" fillId="3" borderId="14" xfId="2" applyNumberFormat="1" applyFont="1" applyFill="1" applyBorder="1" applyAlignment="1" applyProtection="1">
      <alignment horizontal="center" vertical="center" wrapText="1"/>
      <protection locked="0"/>
    </xf>
    <xf numFmtId="49" fontId="39" fillId="3" borderId="15" xfId="2" applyNumberFormat="1" applyFont="1" applyFill="1" applyBorder="1" applyAlignment="1" applyProtection="1">
      <alignment horizontal="center" vertical="center" wrapText="1"/>
      <protection locked="0"/>
    </xf>
    <xf numFmtId="49" fontId="24" fillId="0" borderId="11" xfId="2" applyNumberFormat="1" applyFont="1" applyBorder="1" applyAlignment="1" applyProtection="1">
      <alignment horizontal="center" vertical="center" wrapText="1"/>
      <protection locked="0"/>
    </xf>
    <xf numFmtId="49" fontId="24" fillId="0" borderId="5" xfId="2" applyNumberFormat="1" applyFont="1" applyBorder="1" applyAlignment="1" applyProtection="1">
      <alignment horizontal="center" vertical="center" wrapText="1"/>
      <protection locked="0"/>
    </xf>
    <xf numFmtId="49" fontId="24" fillId="0" borderId="9" xfId="2" applyNumberFormat="1" applyFont="1" applyBorder="1" applyAlignment="1" applyProtection="1">
      <alignment horizontal="center" vertical="center" wrapText="1"/>
      <protection locked="0"/>
    </xf>
    <xf numFmtId="49" fontId="24" fillId="0" borderId="36" xfId="2" applyNumberFormat="1" applyFont="1" applyBorder="1" applyAlignment="1" applyProtection="1">
      <alignment horizontal="center" vertical="center" wrapText="1"/>
      <protection locked="0"/>
    </xf>
    <xf numFmtId="49" fontId="24" fillId="0" borderId="24" xfId="2" applyNumberFormat="1" applyFont="1" applyBorder="1" applyAlignment="1" applyProtection="1">
      <alignment horizontal="center" vertical="center" wrapText="1"/>
      <protection locked="0"/>
    </xf>
    <xf numFmtId="49" fontId="25" fillId="0" borderId="41" xfId="2" applyNumberFormat="1" applyFont="1" applyBorder="1" applyAlignment="1" applyProtection="1">
      <alignment horizontal="center" vertical="center" wrapText="1"/>
      <protection locked="0"/>
    </xf>
    <xf numFmtId="49" fontId="25" fillId="0" borderId="23" xfId="2" applyNumberFormat="1" applyFont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2 9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ogic/AppData/Local/Microsoft/Windows/INetCache/Content.Outlook/204TC6J1/PLAN%20POSLOVANJA_2021.-Velesajam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lan%20poslovanja\2023\Plan_poslovanja_2023.-Velesaja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LAN\PLAN%202019.%20ZV\28.01..19.Copy%20of%20Plan_poslovanja_2019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%20PLAN\PLAN%202021\PLAN%20POSLOVANJA_2021.-Velesaja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lan%20poslovanja\2025\Plan_poslovanja_2025.-Velesaj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Zaposlenost"/>
      <sheetName val="2-Broj radnika"/>
      <sheetName val="3-Fizicki opseg usluga"/>
      <sheetName val="4-Plan tekuceg odrzavanja"/>
      <sheetName val="5-Plan investic odrzavanja"/>
      <sheetName val="6-Plan utroska energ"/>
      <sheetName val="7  RN dob i gub"/>
      <sheetName val="8-Bilanca"/>
      <sheetName val="12-Novcani tijek"/>
      <sheetName val="9 Vrijednost investicija"/>
      <sheetName val="10-Izvori investicija-1"/>
      <sheetName val="11-  Izvori investicija -3"/>
      <sheetName val="13-Pokaz.uspj"/>
    </sheetNames>
    <sheetDataSet>
      <sheetData sheetId="0" refreshError="1">
        <row r="1">
          <cell r="A1" t="str">
            <v>Trgovačko društvo: Zagrebački velesajam d.o.o.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Zaposlenost"/>
      <sheetName val="2-Broj zaposlenih"/>
      <sheetName val="3-Fizicki opseg usluga"/>
      <sheetName val="4-Plan tekuceg odrzavanja"/>
      <sheetName val="5-Plan investic odrzavanja"/>
      <sheetName val="6-Plan utroska energ"/>
      <sheetName val="7-RN dob i gub"/>
      <sheetName val="8-Bilanca"/>
      <sheetName val="9-Vrijed_investicija"/>
      <sheetName val="10-Izvori investicija-1"/>
      <sheetName val="11-Izvori investicija-3"/>
      <sheetName val="12-Novcani tijek"/>
      <sheetName val="13-Pokaz.uspj"/>
      <sheetName val="2-Broj radnika"/>
    </sheetNames>
    <sheetDataSet>
      <sheetData sheetId="0">
        <row r="1">
          <cell r="A1" t="str">
            <v>Trgovačko društvo: Zagrebački velesajam d.o.o.</v>
          </cell>
          <cell r="B1"/>
          <cell r="C1"/>
          <cell r="D1"/>
          <cell r="E1"/>
          <cell r="F1"/>
          <cell r="G1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Zaposlenost"/>
      <sheetName val="2-Broj_radnika"/>
      <sheetName val="3-Fizicki_opseg_usluga"/>
      <sheetName val="4-Plan_tekućeg_održavanja"/>
      <sheetName val="5-Plan_investic_odrzavanja"/>
      <sheetName val="6-Plan_utroska_energ"/>
      <sheetName val="7-RN_dob_i_gub"/>
      <sheetName val="8-Bilanca"/>
      <sheetName val="9-Vrij_investicija"/>
      <sheetName val="10-Izvori_investicija-1"/>
      <sheetName val="11-Izvori_investicija-3"/>
      <sheetName val="12-Novcani_tijek"/>
      <sheetName val="13-Pokaz_uspj"/>
      <sheetName val="Inv__od_2019_-_2021"/>
      <sheetName val="posl_prihodi_od_2019-2021"/>
      <sheetName val="prihodi_od_Grada"/>
      <sheetName val="2-Broj_radnika1"/>
      <sheetName val="3-Fizicki_opseg_usluga1"/>
      <sheetName val="4-Plan_tekućeg_održavanja1"/>
      <sheetName val="5-Plan_investic_odrzavanja1"/>
      <sheetName val="6-Plan_utroska_energ1"/>
      <sheetName val="7-RN_dob_i_gub1"/>
      <sheetName val="9-Vrij_investicija1"/>
      <sheetName val="10-Izvori_investicija-11"/>
      <sheetName val="11-Izvori_investicija-31"/>
      <sheetName val="12-Novcani_tijek1"/>
      <sheetName val="13-Pokaz_uspj1"/>
      <sheetName val="Inv__od_2019_-_20211"/>
      <sheetName val="posl_prihodi_od_2019-20211"/>
      <sheetName val="prihodi_od_Grada1"/>
      <sheetName val="2-Broj radnika"/>
      <sheetName val="3-Fizicki opseg usluga"/>
      <sheetName val="4-Plan tekućeg održavanja"/>
      <sheetName val="5-Plan investic odrzavanja"/>
      <sheetName val="6-Plan utroska energ"/>
      <sheetName val="7-RN dob i gub"/>
      <sheetName val="9-Vrij.investicija"/>
      <sheetName val="10-Izvori investicija-1"/>
      <sheetName val="11-Izvori investicija-3"/>
      <sheetName val="12-Novcani tijek"/>
      <sheetName val="13-Pokaz.uspj"/>
      <sheetName val="Inv. od 2019 - 2021"/>
      <sheetName val="posl prihodi od 2019-2021"/>
      <sheetName val="prihodi od Grada"/>
    </sheetNames>
    <sheetDataSet>
      <sheetData sheetId="0" refreshError="1">
        <row r="1">
          <cell r="A1" t="str">
            <v>Trgovačko društvo: Zagrebački velesajam d.o.o.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Zaposlenost"/>
      <sheetName val="2-Broj radnika"/>
      <sheetName val="3-Fizicki opseg usluga"/>
      <sheetName val="4-Plan tekuceg odrzavanja"/>
      <sheetName val="5-Plan investic odrzavanja"/>
      <sheetName val="6-Plan utroska energ"/>
      <sheetName val="7-RN dob i gub"/>
      <sheetName val="8-Bilanca"/>
      <sheetName val="12-Novcani tijek"/>
      <sheetName val="9 Vrijednost investicija"/>
      <sheetName val="10-Izvori investicija-1"/>
      <sheetName val="11-  Izvori investicija -3"/>
      <sheetName val="13-Pokaz.uspj"/>
    </sheetNames>
    <sheetDataSet>
      <sheetData sheetId="0" refreshError="1">
        <row r="1">
          <cell r="A1" t="str">
            <v>Trgovačko društvo: Zagrebački velesajam d.o.o.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Zaposlenost"/>
      <sheetName val="2-Broj radnika"/>
      <sheetName val="3-Fizicki opseg usluga"/>
      <sheetName val="4-Plan tekuceg odrzavanja"/>
      <sheetName val="5-Plan investic odrzavanja"/>
      <sheetName val="6-Plan utroska energ"/>
      <sheetName val="7-RN dob i gub"/>
      <sheetName val="8-Bilanca"/>
      <sheetName val="9-Vrijed_investicija"/>
      <sheetName val="10-Izvori investicija-1"/>
      <sheetName val="11-Izvori investicija-3"/>
      <sheetName val="12-Novcani tijek"/>
      <sheetName val="13-Pokaz.uspj"/>
    </sheetNames>
    <sheetDataSet>
      <sheetData sheetId="0">
        <row r="1">
          <cell r="A1" t="str">
            <v>Trgovačko društvo: Zagrebački velesajam d.o.o.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47"/>
  <sheetViews>
    <sheetView tabSelected="1" workbookViewId="0">
      <selection activeCell="F47" sqref="F47"/>
    </sheetView>
  </sheetViews>
  <sheetFormatPr defaultColWidth="9.109375" defaultRowHeight="13.2" x14ac:dyDescent="0.25"/>
  <cols>
    <col min="1" max="1" width="5" style="1" customWidth="1"/>
    <col min="2" max="2" width="43" style="1" bestFit="1" customWidth="1"/>
    <col min="3" max="4" width="14" style="1" customWidth="1"/>
    <col min="5" max="5" width="14" style="20" customWidth="1"/>
    <col min="6" max="6" width="7.109375" style="1" bestFit="1" customWidth="1"/>
    <col min="7" max="7" width="6.6640625" style="1" customWidth="1"/>
    <col min="8" max="16384" width="9.109375" style="1"/>
  </cols>
  <sheetData>
    <row r="1" spans="1:7" ht="15.6" x14ac:dyDescent="0.3">
      <c r="A1" s="3" t="s">
        <v>5</v>
      </c>
    </row>
    <row r="2" spans="1:7" ht="13.8" x14ac:dyDescent="0.25">
      <c r="A2" s="4" t="str">
        <f>'[1]1-Zaposlenost'!$A$1</f>
        <v>Trgovačko društvo: Zagrebački velesajam d.o.o.</v>
      </c>
    </row>
    <row r="3" spans="1:7" ht="22.5" customHeight="1" x14ac:dyDescent="0.25">
      <c r="A3" s="447" t="s">
        <v>6</v>
      </c>
      <c r="B3" s="447"/>
      <c r="C3" s="447"/>
      <c r="D3" s="447"/>
      <c r="E3" s="447"/>
      <c r="F3" s="447"/>
      <c r="G3" s="447"/>
    </row>
    <row r="4" spans="1:7" x14ac:dyDescent="0.25">
      <c r="G4" s="5"/>
    </row>
    <row r="5" spans="1:7" s="2" customFormat="1" ht="27.6" customHeight="1" x14ac:dyDescent="0.25">
      <c r="A5" s="448" t="s">
        <v>7</v>
      </c>
      <c r="B5" s="450" t="s">
        <v>8</v>
      </c>
      <c r="C5" s="445" t="s">
        <v>288</v>
      </c>
      <c r="D5" s="445" t="s">
        <v>310</v>
      </c>
      <c r="E5" s="445" t="s">
        <v>54</v>
      </c>
      <c r="F5" s="207" t="s">
        <v>4</v>
      </c>
      <c r="G5" s="6"/>
    </row>
    <row r="6" spans="1:7" s="2" customFormat="1" ht="13.2" customHeight="1" x14ac:dyDescent="0.25">
      <c r="A6" s="449"/>
      <c r="B6" s="451"/>
      <c r="C6" s="446"/>
      <c r="D6" s="446"/>
      <c r="E6" s="446"/>
      <c r="F6" s="208" t="s">
        <v>3</v>
      </c>
      <c r="G6" s="7"/>
    </row>
    <row r="7" spans="1:7" s="10" customFormat="1" ht="10.199999999999999" x14ac:dyDescent="0.2">
      <c r="A7" s="209">
        <v>1</v>
      </c>
      <c r="B7" s="8">
        <v>2</v>
      </c>
      <c r="C7" s="8">
        <v>3</v>
      </c>
      <c r="D7" s="8">
        <v>4</v>
      </c>
      <c r="E7" s="8">
        <v>5</v>
      </c>
      <c r="F7" s="210">
        <v>6</v>
      </c>
      <c r="G7" s="9"/>
    </row>
    <row r="8" spans="1:7" s="13" customFormat="1" ht="22.5" customHeight="1" x14ac:dyDescent="0.3">
      <c r="A8" s="211" t="s">
        <v>9</v>
      </c>
      <c r="B8" s="204" t="s">
        <v>10</v>
      </c>
      <c r="C8" s="205">
        <f t="shared" ref="C8:D8" si="0">SUM(C9,C25)</f>
        <v>13673184.23</v>
      </c>
      <c r="D8" s="205">
        <f t="shared" si="0"/>
        <v>12681000</v>
      </c>
      <c r="E8" s="205">
        <f t="shared" ref="E8" si="1">SUM(E9,E25)</f>
        <v>13105000</v>
      </c>
      <c r="F8" s="212">
        <f>E8/D8*100</f>
        <v>103.34358489078149</v>
      </c>
      <c r="G8" s="12"/>
    </row>
    <row r="9" spans="1:7" s="13" customFormat="1" x14ac:dyDescent="0.3">
      <c r="A9" s="213"/>
      <c r="B9" s="214" t="s">
        <v>11</v>
      </c>
      <c r="C9" s="215">
        <f t="shared" ref="C9:D9" si="2">SUM(C10,C11,C12,C13,C17)</f>
        <v>13597429.440000001</v>
      </c>
      <c r="D9" s="215">
        <f t="shared" si="2"/>
        <v>12601000</v>
      </c>
      <c r="E9" s="215">
        <f t="shared" ref="E9" si="3">SUM(E10,E11,E12,E13,E17)</f>
        <v>13025000</v>
      </c>
      <c r="F9" s="216">
        <f t="shared" ref="F9:F44" si="4">E9/D9*100</f>
        <v>103.36481231648283</v>
      </c>
      <c r="G9" s="14"/>
    </row>
    <row r="10" spans="1:7" s="13" customFormat="1" ht="39.6" x14ac:dyDescent="0.3">
      <c r="A10" s="213"/>
      <c r="B10" s="217" t="s">
        <v>12</v>
      </c>
      <c r="C10" s="218">
        <v>3781530.15</v>
      </c>
      <c r="D10" s="218">
        <v>3022000</v>
      </c>
      <c r="E10" s="218">
        <f>3042000+118000</f>
        <v>3160000</v>
      </c>
      <c r="F10" s="216">
        <f t="shared" si="4"/>
        <v>104.56651224354732</v>
      </c>
      <c r="G10" s="14"/>
    </row>
    <row r="11" spans="1:7" s="13" customFormat="1" ht="26.4" x14ac:dyDescent="0.3">
      <c r="A11" s="213"/>
      <c r="B11" s="220" t="s">
        <v>13</v>
      </c>
      <c r="C11" s="215">
        <v>384351.39</v>
      </c>
      <c r="D11" s="215">
        <v>410000</v>
      </c>
      <c r="E11" s="215">
        <v>460000</v>
      </c>
      <c r="F11" s="216">
        <f t="shared" si="4"/>
        <v>112.19512195121952</v>
      </c>
      <c r="G11" s="14"/>
    </row>
    <row r="12" spans="1:7" s="13" customFormat="1" x14ac:dyDescent="0.3">
      <c r="A12" s="213"/>
      <c r="B12" s="220" t="s">
        <v>14</v>
      </c>
      <c r="C12" s="218"/>
      <c r="D12" s="218"/>
      <c r="E12" s="219"/>
      <c r="F12" s="216"/>
      <c r="G12" s="14"/>
    </row>
    <row r="13" spans="1:7" s="13" customFormat="1" ht="21" customHeight="1" x14ac:dyDescent="0.3">
      <c r="A13" s="213"/>
      <c r="B13" s="217" t="s">
        <v>15</v>
      </c>
      <c r="C13" s="218">
        <f>+C14+C15+C16</f>
        <v>2386584.62</v>
      </c>
      <c r="D13" s="218">
        <f>+D14+D15+D16</f>
        <v>2522000</v>
      </c>
      <c r="E13" s="218">
        <f>+E14+E15+E16</f>
        <v>2547000</v>
      </c>
      <c r="F13" s="216">
        <f t="shared" si="4"/>
        <v>100.99127676447264</v>
      </c>
      <c r="G13" s="14"/>
    </row>
    <row r="14" spans="1:7" s="13" customFormat="1" ht="26.4" x14ac:dyDescent="0.3">
      <c r="A14" s="213"/>
      <c r="B14" s="220" t="s">
        <v>16</v>
      </c>
      <c r="C14" s="215">
        <v>81957.710000000006</v>
      </c>
      <c r="D14" s="215">
        <v>150000</v>
      </c>
      <c r="E14" s="215">
        <v>175000</v>
      </c>
      <c r="F14" s="216">
        <f t="shared" si="4"/>
        <v>116.66666666666667</v>
      </c>
      <c r="G14" s="14"/>
    </row>
    <row r="15" spans="1:7" s="13" customFormat="1" x14ac:dyDescent="0.3">
      <c r="A15" s="213"/>
      <c r="B15" s="220" t="s">
        <v>17</v>
      </c>
      <c r="C15" s="218">
        <v>2251626.91</v>
      </c>
      <c r="D15" s="218">
        <v>2319000</v>
      </c>
      <c r="E15" s="218">
        <v>2319000</v>
      </c>
      <c r="F15" s="216">
        <f t="shared" si="4"/>
        <v>100</v>
      </c>
      <c r="G15" s="14"/>
    </row>
    <row r="16" spans="1:7" s="13" customFormat="1" x14ac:dyDescent="0.3">
      <c r="A16" s="213"/>
      <c r="B16" s="220" t="s">
        <v>18</v>
      </c>
      <c r="C16" s="218">
        <v>53000</v>
      </c>
      <c r="D16" s="218">
        <v>53000</v>
      </c>
      <c r="E16" s="218">
        <v>53000</v>
      </c>
      <c r="F16" s="216">
        <f t="shared" si="4"/>
        <v>100</v>
      </c>
      <c r="G16" s="14"/>
    </row>
    <row r="17" spans="1:8" s="13" customFormat="1" x14ac:dyDescent="0.3">
      <c r="A17" s="213"/>
      <c r="B17" s="217" t="s">
        <v>19</v>
      </c>
      <c r="C17" s="215">
        <f>SUM(C18:C24)</f>
        <v>7044963.2800000003</v>
      </c>
      <c r="D17" s="215">
        <f>SUM(D18:D24)</f>
        <v>6647000</v>
      </c>
      <c r="E17" s="215">
        <f>SUM(E18:E24)</f>
        <v>6858000</v>
      </c>
      <c r="F17" s="216">
        <f t="shared" si="4"/>
        <v>103.17436437490596</v>
      </c>
      <c r="G17" s="14"/>
    </row>
    <row r="18" spans="1:8" s="13" customFormat="1" x14ac:dyDescent="0.3">
      <c r="A18" s="213"/>
      <c r="B18" s="217" t="s">
        <v>20</v>
      </c>
      <c r="C18" s="215">
        <v>5337213.97</v>
      </c>
      <c r="D18" s="215">
        <v>5945000</v>
      </c>
      <c r="E18" s="215">
        <v>6109000</v>
      </c>
      <c r="F18" s="216">
        <f t="shared" si="4"/>
        <v>102.75862068965517</v>
      </c>
      <c r="G18" s="14"/>
      <c r="H18" s="173"/>
    </row>
    <row r="19" spans="1:8" s="13" customFormat="1" ht="26.4" x14ac:dyDescent="0.3">
      <c r="A19" s="213"/>
      <c r="B19" s="217" t="s">
        <v>21</v>
      </c>
      <c r="C19" s="218"/>
      <c r="D19" s="218"/>
      <c r="E19" s="219"/>
      <c r="F19" s="216"/>
      <c r="G19" s="14"/>
    </row>
    <row r="20" spans="1:8" s="13" customFormat="1" ht="26.4" x14ac:dyDescent="0.3">
      <c r="A20" s="213"/>
      <c r="B20" s="217" t="s">
        <v>22</v>
      </c>
      <c r="C20" s="218">
        <v>30238.23</v>
      </c>
      <c r="D20" s="218"/>
      <c r="E20" s="218">
        <v>50000</v>
      </c>
      <c r="F20" s="216"/>
      <c r="G20" s="14"/>
    </row>
    <row r="21" spans="1:8" s="13" customFormat="1" x14ac:dyDescent="0.3">
      <c r="A21" s="213"/>
      <c r="B21" s="217" t="s">
        <v>23</v>
      </c>
      <c r="C21" s="218">
        <v>70628.86</v>
      </c>
      <c r="D21" s="218">
        <v>60000</v>
      </c>
      <c r="E21" s="218">
        <v>60000</v>
      </c>
      <c r="F21" s="216">
        <f t="shared" si="4"/>
        <v>100</v>
      </c>
      <c r="G21" s="14"/>
    </row>
    <row r="22" spans="1:8" s="13" customFormat="1" x14ac:dyDescent="0.3">
      <c r="A22" s="213"/>
      <c r="B22" s="217" t="s">
        <v>24</v>
      </c>
      <c r="C22" s="218">
        <v>62543.14</v>
      </c>
      <c r="D22" s="218">
        <v>20000</v>
      </c>
      <c r="E22" s="218">
        <v>20000</v>
      </c>
      <c r="F22" s="216">
        <f t="shared" si="4"/>
        <v>100</v>
      </c>
      <c r="G22" s="14"/>
    </row>
    <row r="23" spans="1:8" s="13" customFormat="1" x14ac:dyDescent="0.3">
      <c r="A23" s="213"/>
      <c r="B23" s="217" t="s">
        <v>25</v>
      </c>
      <c r="C23" s="218">
        <v>363613.61</v>
      </c>
      <c r="D23" s="218"/>
      <c r="E23" s="219"/>
      <c r="F23" s="216"/>
      <c r="G23" s="14"/>
    </row>
    <row r="24" spans="1:8" s="15" customFormat="1" x14ac:dyDescent="0.3">
      <c r="A24" s="213"/>
      <c r="B24" s="217" t="s">
        <v>26</v>
      </c>
      <c r="C24" s="218">
        <v>1180725.47</v>
      </c>
      <c r="D24" s="218">
        <v>622000</v>
      </c>
      <c r="E24" s="218">
        <f>229000+10000+280000+100000</f>
        <v>619000</v>
      </c>
      <c r="F24" s="216">
        <f t="shared" si="4"/>
        <v>99.517684887459808</v>
      </c>
      <c r="G24" s="14"/>
    </row>
    <row r="25" spans="1:8" s="15" customFormat="1" x14ac:dyDescent="0.3">
      <c r="A25" s="213"/>
      <c r="B25" s="214" t="s">
        <v>27</v>
      </c>
      <c r="C25" s="218">
        <v>75754.789999999994</v>
      </c>
      <c r="D25" s="218">
        <v>80000</v>
      </c>
      <c r="E25" s="218">
        <v>80000</v>
      </c>
      <c r="F25" s="216">
        <f t="shared" si="4"/>
        <v>100</v>
      </c>
      <c r="G25" s="14"/>
    </row>
    <row r="26" spans="1:8" s="13" customFormat="1" ht="22.5" customHeight="1" x14ac:dyDescent="0.3">
      <c r="A26" s="211" t="s">
        <v>28</v>
      </c>
      <c r="B26" s="206" t="s">
        <v>29</v>
      </c>
      <c r="C26" s="205">
        <f>SUM(C27,C40)</f>
        <v>10618046.219999999</v>
      </c>
      <c r="D26" s="205">
        <f>SUM(D27,D40)</f>
        <v>10882000</v>
      </c>
      <c r="E26" s="205">
        <f>SUM(E27,E40)</f>
        <v>11288000</v>
      </c>
      <c r="F26" s="212">
        <f t="shared" si="4"/>
        <v>103.73093181400476</v>
      </c>
      <c r="G26" s="12"/>
    </row>
    <row r="27" spans="1:8" s="13" customFormat="1" x14ac:dyDescent="0.3">
      <c r="A27" s="213"/>
      <c r="B27" s="214" t="s">
        <v>30</v>
      </c>
      <c r="C27" s="215">
        <f>SUM(C28,C29,C33,C36,C37,C38,C39)</f>
        <v>10282783.569999998</v>
      </c>
      <c r="D27" s="215">
        <f>SUM(D28,D29,D33,D36,D37,D38,D39)</f>
        <v>10790000</v>
      </c>
      <c r="E27" s="215">
        <f>SUM(E28,E29,E33,E36,E37,E38,E39)</f>
        <v>11242000</v>
      </c>
      <c r="F27" s="216">
        <f t="shared" si="4"/>
        <v>104.1890639481001</v>
      </c>
      <c r="G27" s="14"/>
    </row>
    <row r="28" spans="1:8" s="13" customFormat="1" ht="26.4" x14ac:dyDescent="0.3">
      <c r="A28" s="213"/>
      <c r="B28" s="222" t="s">
        <v>31</v>
      </c>
      <c r="C28" s="218"/>
      <c r="D28" s="218"/>
      <c r="E28" s="219"/>
      <c r="F28" s="216"/>
      <c r="G28" s="14"/>
    </row>
    <row r="29" spans="1:8" s="13" customFormat="1" x14ac:dyDescent="0.3">
      <c r="A29" s="213"/>
      <c r="B29" s="222" t="s">
        <v>32</v>
      </c>
      <c r="C29" s="218">
        <f>SUM(C30:C32)</f>
        <v>5192754.7799999993</v>
      </c>
      <c r="D29" s="218">
        <f>SUM(D30:D32)</f>
        <v>5351000</v>
      </c>
      <c r="E29" s="218">
        <f>SUM(E30:E32)</f>
        <v>5536000</v>
      </c>
      <c r="F29" s="216">
        <f t="shared" si="4"/>
        <v>103.45729770136423</v>
      </c>
      <c r="G29" s="14"/>
    </row>
    <row r="30" spans="1:8" s="13" customFormat="1" x14ac:dyDescent="0.3">
      <c r="A30" s="213"/>
      <c r="B30" s="220" t="s">
        <v>33</v>
      </c>
      <c r="C30" s="218">
        <v>2593279.61</v>
      </c>
      <c r="D30" s="218">
        <v>2838000</v>
      </c>
      <c r="E30" s="218">
        <v>2698000</v>
      </c>
      <c r="F30" s="216">
        <f t="shared" si="4"/>
        <v>95.06694855532065</v>
      </c>
      <c r="G30" s="14"/>
    </row>
    <row r="31" spans="1:8" s="13" customFormat="1" x14ac:dyDescent="0.3">
      <c r="A31" s="213"/>
      <c r="B31" s="220" t="s">
        <v>34</v>
      </c>
      <c r="C31" s="218"/>
      <c r="D31" s="218"/>
      <c r="E31" s="219"/>
      <c r="F31" s="216"/>
      <c r="G31" s="14"/>
    </row>
    <row r="32" spans="1:8" s="13" customFormat="1" x14ac:dyDescent="0.3">
      <c r="A32" s="213"/>
      <c r="B32" s="220" t="s">
        <v>35</v>
      </c>
      <c r="C32" s="218">
        <v>2599475.17</v>
      </c>
      <c r="D32" s="218">
        <v>2513000</v>
      </c>
      <c r="E32" s="218">
        <v>2838000</v>
      </c>
      <c r="F32" s="216">
        <f t="shared" si="4"/>
        <v>112.93274970155194</v>
      </c>
      <c r="G32" s="14"/>
    </row>
    <row r="33" spans="1:7" s="13" customFormat="1" x14ac:dyDescent="0.3">
      <c r="A33" s="213"/>
      <c r="B33" s="222" t="s">
        <v>36</v>
      </c>
      <c r="C33" s="218">
        <f>SUM(C34:C35)</f>
        <v>4222368.25</v>
      </c>
      <c r="D33" s="218">
        <f>SUM(D34:D35)</f>
        <v>4784000</v>
      </c>
      <c r="E33" s="218">
        <f>SUM(E34:E35)</f>
        <v>4992000</v>
      </c>
      <c r="F33" s="216">
        <f t="shared" si="4"/>
        <v>104.34782608695652</v>
      </c>
      <c r="G33" s="14"/>
    </row>
    <row r="34" spans="1:7" s="13" customFormat="1" x14ac:dyDescent="0.3">
      <c r="A34" s="213"/>
      <c r="B34" s="220" t="s">
        <v>37</v>
      </c>
      <c r="C34" s="218">
        <v>3634561</v>
      </c>
      <c r="D34" s="218">
        <v>4050000</v>
      </c>
      <c r="E34" s="218">
        <v>4366000</v>
      </c>
      <c r="F34" s="216">
        <f t="shared" si="4"/>
        <v>107.80246913580247</v>
      </c>
      <c r="G34" s="14"/>
    </row>
    <row r="35" spans="1:7" s="13" customFormat="1" ht="26.4" x14ac:dyDescent="0.3">
      <c r="A35" s="213"/>
      <c r="B35" s="220" t="s">
        <v>38</v>
      </c>
      <c r="C35" s="218">
        <v>587807.25</v>
      </c>
      <c r="D35" s="218">
        <v>734000</v>
      </c>
      <c r="E35" s="218">
        <v>626000</v>
      </c>
      <c r="F35" s="216">
        <f t="shared" si="4"/>
        <v>85.286103542234343</v>
      </c>
      <c r="G35" s="14"/>
    </row>
    <row r="36" spans="1:7" s="13" customFormat="1" x14ac:dyDescent="0.3">
      <c r="A36" s="213"/>
      <c r="B36" s="222" t="s">
        <v>39</v>
      </c>
      <c r="C36" s="218">
        <v>508996.94</v>
      </c>
      <c r="D36" s="218">
        <v>530000</v>
      </c>
      <c r="E36" s="218">
        <v>590000</v>
      </c>
      <c r="F36" s="216">
        <f t="shared" si="4"/>
        <v>111.32075471698113</v>
      </c>
      <c r="G36" s="14"/>
    </row>
    <row r="37" spans="1:7" s="13" customFormat="1" ht="26.4" x14ac:dyDescent="0.3">
      <c r="A37" s="213"/>
      <c r="B37" s="222" t="s">
        <v>40</v>
      </c>
      <c r="C37" s="218">
        <v>94561.83</v>
      </c>
      <c r="D37" s="218">
        <v>20000</v>
      </c>
      <c r="E37" s="218">
        <v>20000</v>
      </c>
      <c r="F37" s="216">
        <f t="shared" si="4"/>
        <v>100</v>
      </c>
      <c r="G37" s="14"/>
    </row>
    <row r="38" spans="1:7" s="13" customFormat="1" x14ac:dyDescent="0.3">
      <c r="A38" s="213"/>
      <c r="B38" s="222" t="s">
        <v>41</v>
      </c>
      <c r="C38" s="218">
        <v>196434.02</v>
      </c>
      <c r="D38" s="218">
        <v>25000</v>
      </c>
      <c r="E38" s="218">
        <v>25000</v>
      </c>
      <c r="F38" s="216">
        <f t="shared" si="4"/>
        <v>100</v>
      </c>
      <c r="G38" s="14"/>
    </row>
    <row r="39" spans="1:7" s="13" customFormat="1" x14ac:dyDescent="0.3">
      <c r="A39" s="213"/>
      <c r="B39" s="222" t="s">
        <v>42</v>
      </c>
      <c r="C39" s="218">
        <v>67667.75</v>
      </c>
      <c r="D39" s="218">
        <v>80000</v>
      </c>
      <c r="E39" s="218">
        <f>43000+36000</f>
        <v>79000</v>
      </c>
      <c r="F39" s="216">
        <f t="shared" si="4"/>
        <v>98.75</v>
      </c>
      <c r="G39" s="14"/>
    </row>
    <row r="40" spans="1:7" s="15" customFormat="1" x14ac:dyDescent="0.3">
      <c r="A40" s="223"/>
      <c r="B40" s="214" t="s">
        <v>43</v>
      </c>
      <c r="C40" s="218">
        <v>335262.65000000002</v>
      </c>
      <c r="D40" s="218">
        <v>92000</v>
      </c>
      <c r="E40" s="218">
        <v>46000</v>
      </c>
      <c r="F40" s="216">
        <f t="shared" si="4"/>
        <v>50</v>
      </c>
      <c r="G40" s="14"/>
    </row>
    <row r="41" spans="1:7" s="17" customFormat="1" x14ac:dyDescent="0.3">
      <c r="A41" s="224" t="s">
        <v>44</v>
      </c>
      <c r="B41" s="225" t="s">
        <v>45</v>
      </c>
      <c r="C41" s="226">
        <f>IF((C8-C26)&gt;0,C8-C26,0)</f>
        <v>3055138.0100000016</v>
      </c>
      <c r="D41" s="226">
        <f>IF((D8-D26)&gt;0,D8-D26,0)</f>
        <v>1799000</v>
      </c>
      <c r="E41" s="226">
        <f>IF((E8-E26)&gt;0,E8-E26,0)</f>
        <v>1817000</v>
      </c>
      <c r="F41" s="227">
        <f t="shared" si="4"/>
        <v>101.00055586436909</v>
      </c>
      <c r="G41" s="12"/>
    </row>
    <row r="42" spans="1:7" s="19" customFormat="1" x14ac:dyDescent="0.3">
      <c r="A42" s="228" t="s">
        <v>46</v>
      </c>
      <c r="B42" s="229" t="s">
        <v>47</v>
      </c>
      <c r="C42" s="230"/>
      <c r="D42" s="230"/>
      <c r="E42" s="231"/>
      <c r="F42" s="232"/>
      <c r="G42" s="18"/>
    </row>
    <row r="43" spans="1:7" s="19" customFormat="1" x14ac:dyDescent="0.3">
      <c r="A43" s="228" t="s">
        <v>48</v>
      </c>
      <c r="B43" s="229" t="s">
        <v>49</v>
      </c>
      <c r="C43" s="221">
        <v>586640.51</v>
      </c>
      <c r="D43" s="221">
        <v>323820</v>
      </c>
      <c r="E43" s="221">
        <f>E41*0.18</f>
        <v>327060</v>
      </c>
      <c r="F43" s="233">
        <f t="shared" si="4"/>
        <v>101.00055586436909</v>
      </c>
      <c r="G43" s="18"/>
    </row>
    <row r="44" spans="1:7" s="17" customFormat="1" ht="17.399999999999999" customHeight="1" x14ac:dyDescent="0.3">
      <c r="A44" s="234" t="s">
        <v>50</v>
      </c>
      <c r="B44" s="206" t="s">
        <v>51</v>
      </c>
      <c r="C44" s="205">
        <f>IF((C8-C26-C43)&gt;0,C8-C26-C43,0)</f>
        <v>2468497.5000000019</v>
      </c>
      <c r="D44" s="205">
        <f>IF((D8-D26-D43)&gt;0,D8-D26-D43,0)</f>
        <v>1475180</v>
      </c>
      <c r="E44" s="205">
        <f>IF((E8-E26-E43)&gt;0,E8-E26-E43,0)</f>
        <v>1489940</v>
      </c>
      <c r="F44" s="235">
        <f t="shared" si="4"/>
        <v>101.00055586436909</v>
      </c>
      <c r="G44" s="12"/>
    </row>
    <row r="45" spans="1:7" s="17" customFormat="1" ht="18.600000000000001" customHeight="1" x14ac:dyDescent="0.3">
      <c r="A45" s="236" t="s">
        <v>52</v>
      </c>
      <c r="B45" s="16" t="s">
        <v>53</v>
      </c>
      <c r="C45" s="11"/>
      <c r="D45" s="11"/>
      <c r="E45" s="21"/>
      <c r="F45" s="237"/>
      <c r="G45" s="12"/>
    </row>
    <row r="46" spans="1:7" x14ac:dyDescent="0.25">
      <c r="A46" s="443"/>
      <c r="B46" s="443"/>
    </row>
    <row r="47" spans="1:7" ht="18" customHeight="1" x14ac:dyDescent="0.25">
      <c r="A47" s="444"/>
      <c r="B47" s="444"/>
      <c r="C47" s="2"/>
      <c r="D47" s="2"/>
      <c r="E47" s="22"/>
    </row>
  </sheetData>
  <mergeCells count="8">
    <mergeCell ref="A46:B46"/>
    <mergeCell ref="A47:B47"/>
    <mergeCell ref="E5:E6"/>
    <mergeCell ref="A3:G3"/>
    <mergeCell ref="A5:A6"/>
    <mergeCell ref="B5:B6"/>
    <mergeCell ref="D5:D6"/>
    <mergeCell ref="C5:C6"/>
  </mergeCells>
  <printOptions horizontalCentered="1"/>
  <pageMargins left="0.26" right="0.23" top="0.74803149606299213" bottom="0.74803149606299213" header="0.31496062992125984" footer="0.31496062992125984"/>
  <pageSetup paperSize="9" scale="95" orientation="portrait" verticalDpi="0" r:id="rId1"/>
  <ignoredErrors>
    <ignoredError sqref="C29:E29 C13:E13 E39 E43 E24 E10" unlockedFormula="1"/>
    <ignoredError sqref="C17:D17" formulaRange="1"/>
    <ignoredError sqref="C33:E33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workbookViewId="0">
      <selection activeCell="M38" sqref="M38"/>
    </sheetView>
  </sheetViews>
  <sheetFormatPr defaultColWidth="9.109375" defaultRowHeight="12" x14ac:dyDescent="0.25"/>
  <cols>
    <col min="1" max="1" width="5.33203125" style="274" customWidth="1"/>
    <col min="2" max="2" width="3" style="283" customWidth="1"/>
    <col min="3" max="3" width="43.33203125" style="284" customWidth="1"/>
    <col min="4" max="4" width="12" style="279" customWidth="1"/>
    <col min="5" max="5" width="6.88671875" style="279" customWidth="1"/>
    <col min="6" max="6" width="14.33203125" style="440" customWidth="1"/>
    <col min="7" max="7" width="6.5546875" style="279" bestFit="1" customWidth="1"/>
    <col min="8" max="8" width="14.33203125" style="441" customWidth="1"/>
    <col min="9" max="9" width="6.5546875" style="279" bestFit="1" customWidth="1"/>
    <col min="10" max="10" width="7.33203125" style="279" customWidth="1"/>
    <col min="11" max="16384" width="9.109375" style="272"/>
  </cols>
  <sheetData>
    <row r="1" spans="1:12" s="267" customFormat="1" ht="21.75" customHeight="1" x14ac:dyDescent="0.3">
      <c r="A1" s="455" t="str">
        <f>'[2]1-Zaposlenost'!A1:G1</f>
        <v>Trgovačko društvo: Zagrebački velesajam d.o.o.</v>
      </c>
      <c r="B1" s="455"/>
      <c r="C1" s="455"/>
      <c r="D1" s="455"/>
      <c r="E1" s="455"/>
      <c r="F1" s="455"/>
      <c r="G1" s="455"/>
      <c r="H1" s="455"/>
      <c r="I1" s="455"/>
      <c r="J1" s="455"/>
    </row>
    <row r="2" spans="1:12" ht="11.25" hidden="1" customHeight="1" x14ac:dyDescent="0.2">
      <c r="A2" s="268"/>
      <c r="B2" s="269"/>
      <c r="C2" s="269"/>
      <c r="D2" s="270"/>
      <c r="E2" s="270"/>
      <c r="F2" s="268"/>
      <c r="G2" s="270"/>
      <c r="H2" s="271"/>
      <c r="I2" s="270"/>
      <c r="J2" s="269"/>
    </row>
    <row r="3" spans="1:12" ht="15.6" x14ac:dyDescent="0.3">
      <c r="A3" s="456" t="s">
        <v>325</v>
      </c>
      <c r="B3" s="456"/>
      <c r="C3" s="456"/>
      <c r="D3" s="456"/>
      <c r="E3" s="456"/>
      <c r="F3" s="456"/>
      <c r="G3" s="456"/>
      <c r="H3" s="456"/>
      <c r="I3" s="456"/>
      <c r="J3" s="456"/>
      <c r="K3" s="273"/>
      <c r="L3" s="273"/>
    </row>
    <row r="4" spans="1:12" ht="12.75" customHeight="1" x14ac:dyDescent="0.4">
      <c r="B4" s="275"/>
      <c r="C4" s="276"/>
      <c r="D4" s="277"/>
      <c r="E4" s="277"/>
      <c r="F4" s="278"/>
      <c r="H4" s="280"/>
      <c r="J4" s="281" t="s">
        <v>55</v>
      </c>
    </row>
    <row r="5" spans="1:12" ht="14.25" customHeight="1" thickBot="1" x14ac:dyDescent="0.3">
      <c r="A5" s="282" t="s">
        <v>326</v>
      </c>
      <c r="D5" s="457"/>
      <c r="E5" s="457"/>
      <c r="F5" s="457"/>
      <c r="H5" s="285"/>
      <c r="J5" s="286" t="s">
        <v>327</v>
      </c>
    </row>
    <row r="6" spans="1:12" s="288" customFormat="1" ht="13.5" customHeight="1" x14ac:dyDescent="0.3">
      <c r="A6" s="458" t="s">
        <v>328</v>
      </c>
      <c r="B6" s="461" t="s">
        <v>329</v>
      </c>
      <c r="C6" s="462"/>
      <c r="D6" s="467" t="s">
        <v>330</v>
      </c>
      <c r="E6" s="468"/>
      <c r="F6" s="468"/>
      <c r="G6" s="468"/>
      <c r="H6" s="468"/>
      <c r="I6" s="468"/>
      <c r="J6" s="469" t="s">
        <v>4</v>
      </c>
      <c r="K6" s="287"/>
    </row>
    <row r="7" spans="1:12" s="288" customFormat="1" ht="38.25" customHeight="1" x14ac:dyDescent="0.3">
      <c r="A7" s="459"/>
      <c r="B7" s="463"/>
      <c r="C7" s="464"/>
      <c r="D7" s="471" t="s">
        <v>331</v>
      </c>
      <c r="E7" s="472"/>
      <c r="F7" s="471" t="s">
        <v>332</v>
      </c>
      <c r="G7" s="473"/>
      <c r="H7" s="471" t="s">
        <v>333</v>
      </c>
      <c r="I7" s="472"/>
      <c r="J7" s="470"/>
      <c r="K7" s="287"/>
    </row>
    <row r="8" spans="1:12" s="288" customFormat="1" ht="13.2" x14ac:dyDescent="0.3">
      <c r="A8" s="460"/>
      <c r="B8" s="465"/>
      <c r="C8" s="466"/>
      <c r="D8" s="289" t="s">
        <v>212</v>
      </c>
      <c r="E8" s="290" t="s">
        <v>334</v>
      </c>
      <c r="F8" s="291" t="s">
        <v>212</v>
      </c>
      <c r="G8" s="292" t="s">
        <v>334</v>
      </c>
      <c r="H8" s="292" t="s">
        <v>212</v>
      </c>
      <c r="I8" s="293" t="s">
        <v>334</v>
      </c>
      <c r="J8" s="294" t="s">
        <v>335</v>
      </c>
      <c r="K8" s="287"/>
    </row>
    <row r="9" spans="1:12" s="302" customFormat="1" ht="11.25" customHeight="1" thickBot="1" x14ac:dyDescent="0.35">
      <c r="A9" s="295">
        <v>1</v>
      </c>
      <c r="B9" s="296"/>
      <c r="C9" s="297">
        <v>2</v>
      </c>
      <c r="D9" s="298">
        <v>3</v>
      </c>
      <c r="E9" s="298">
        <v>4</v>
      </c>
      <c r="F9" s="299">
        <v>5</v>
      </c>
      <c r="G9" s="296">
        <v>6</v>
      </c>
      <c r="H9" s="296">
        <v>7</v>
      </c>
      <c r="I9" s="300">
        <v>8</v>
      </c>
      <c r="J9" s="301">
        <v>9</v>
      </c>
    </row>
    <row r="10" spans="1:12" s="267" customFormat="1" ht="15" customHeight="1" thickTop="1" x14ac:dyDescent="0.25">
      <c r="A10" s="303"/>
      <c r="B10" s="304"/>
      <c r="C10" s="305" t="s">
        <v>336</v>
      </c>
      <c r="D10" s="306"/>
      <c r="E10" s="306"/>
      <c r="F10" s="452"/>
      <c r="G10" s="452"/>
      <c r="H10" s="453"/>
      <c r="I10" s="454"/>
      <c r="J10" s="307"/>
      <c r="K10" s="308"/>
    </row>
    <row r="11" spans="1:12" s="267" customFormat="1" ht="15" customHeight="1" x14ac:dyDescent="0.3">
      <c r="A11" s="309">
        <v>1</v>
      </c>
      <c r="B11" s="310" t="s">
        <v>337</v>
      </c>
      <c r="C11" s="311" t="s">
        <v>338</v>
      </c>
      <c r="D11" s="312"/>
      <c r="E11" s="312"/>
      <c r="F11" s="313"/>
      <c r="G11" s="314" t="str">
        <f t="shared" ref="G11" si="0">IF(F11=0,"",100*F11/aktiva1)</f>
        <v/>
      </c>
      <c r="H11" s="315"/>
      <c r="I11" s="316" t="str">
        <f t="shared" ref="I11:I12" si="1">IF(H11=0,"",100*H11/aktiva1)</f>
        <v/>
      </c>
      <c r="J11" s="317" t="str">
        <f>IF(D11=0," ",IF(((F11/D11)*100)&gt;=1000,"...",F11/D11*100))</f>
        <v xml:space="preserve"> </v>
      </c>
      <c r="K11" s="308"/>
    </row>
    <row r="12" spans="1:12" s="319" customFormat="1" ht="15" customHeight="1" x14ac:dyDescent="0.3">
      <c r="A12" s="309">
        <f>A11+1</f>
        <v>2</v>
      </c>
      <c r="B12" s="310" t="s">
        <v>339</v>
      </c>
      <c r="C12" s="311" t="s">
        <v>340</v>
      </c>
      <c r="D12" s="312"/>
      <c r="E12" s="312"/>
      <c r="F12" s="313"/>
      <c r="G12" s="314" t="str">
        <f t="shared" ref="G12" si="2">IF(F12=0,"",100*F12/aktiva1)</f>
        <v/>
      </c>
      <c r="H12" s="315"/>
      <c r="I12" s="316" t="str">
        <f t="shared" si="1"/>
        <v/>
      </c>
      <c r="J12" s="317" t="str">
        <f>IF(D12=0," ",IF(((F12/D12)*100)&gt;=1000,"...",F12/D12*100))</f>
        <v xml:space="preserve"> </v>
      </c>
      <c r="K12" s="318"/>
    </row>
    <row r="13" spans="1:12" s="267" customFormat="1" ht="15" customHeight="1" x14ac:dyDescent="0.3">
      <c r="A13" s="320">
        <f>A12+1</f>
        <v>3</v>
      </c>
      <c r="B13" s="321"/>
      <c r="C13" s="322" t="s">
        <v>341</v>
      </c>
      <c r="D13" s="323">
        <v>67384.61</v>
      </c>
      <c r="E13" s="324">
        <f>D13/$D$26*100</f>
        <v>2.86851692623468E-2</v>
      </c>
      <c r="F13" s="325">
        <v>60000</v>
      </c>
      <c r="G13" s="326">
        <f>F14/$F$26*100</f>
        <v>98.938631727226607</v>
      </c>
      <c r="H13" s="327">
        <v>50000</v>
      </c>
      <c r="I13" s="328">
        <f>H14/$F$26*100</f>
        <v>98.895637678974396</v>
      </c>
      <c r="J13" s="329">
        <f t="shared" ref="J13:J18" si="3">H13/F13*100</f>
        <v>83.333333333333343</v>
      </c>
      <c r="K13" s="308"/>
    </row>
    <row r="14" spans="1:12" s="267" customFormat="1" ht="15" customHeight="1" x14ac:dyDescent="0.3">
      <c r="A14" s="320">
        <f>A13+1</f>
        <v>4</v>
      </c>
      <c r="B14" s="321"/>
      <c r="C14" s="322" t="s">
        <v>342</v>
      </c>
      <c r="D14" s="323">
        <v>231268247.62</v>
      </c>
      <c r="E14" s="324">
        <f t="shared" ref="E14:E26" si="4">D14/$D$26*100</f>
        <v>98.449316958071478</v>
      </c>
      <c r="F14" s="325">
        <f>230671693-550000</f>
        <v>230121693</v>
      </c>
      <c r="G14" s="326">
        <f t="shared" ref="G14:G23" si="5">F15/$F$26*100</f>
        <v>5.5261540040015336E-2</v>
      </c>
      <c r="H14" s="327">
        <f>230671693-550000-100000</f>
        <v>230021693</v>
      </c>
      <c r="I14" s="328">
        <f t="shared" ref="I14:I18" si="6">H15/$F$26*100</f>
        <v>5.5261540040015336E-2</v>
      </c>
      <c r="J14" s="329">
        <f t="shared" si="3"/>
        <v>99.956544731313102</v>
      </c>
      <c r="K14" s="308"/>
    </row>
    <row r="15" spans="1:12" s="267" customFormat="1" ht="15" customHeight="1" x14ac:dyDescent="0.3">
      <c r="A15" s="320">
        <f>A14+1</f>
        <v>5</v>
      </c>
      <c r="B15" s="321"/>
      <c r="C15" s="322" t="s">
        <v>343</v>
      </c>
      <c r="D15" s="323">
        <v>77714.86</v>
      </c>
      <c r="E15" s="324">
        <f t="shared" si="4"/>
        <v>3.3082686288450507E-2</v>
      </c>
      <c r="F15" s="325">
        <v>128533</v>
      </c>
      <c r="G15" s="326">
        <f t="shared" si="5"/>
        <v>1.7197619300884702E-3</v>
      </c>
      <c r="H15" s="327">
        <f>+F15</f>
        <v>128533</v>
      </c>
      <c r="I15" s="328">
        <f t="shared" si="6"/>
        <v>1.7197619300884702E-3</v>
      </c>
      <c r="J15" s="329">
        <f t="shared" si="3"/>
        <v>100</v>
      </c>
    </row>
    <row r="16" spans="1:12" s="267" customFormat="1" ht="15" customHeight="1" x14ac:dyDescent="0.3">
      <c r="A16" s="320">
        <f t="shared" ref="A16:A25" si="7">A15+1</f>
        <v>6</v>
      </c>
      <c r="B16" s="321"/>
      <c r="C16" s="322" t="s">
        <v>344</v>
      </c>
      <c r="D16" s="323">
        <v>1320.18</v>
      </c>
      <c r="E16" s="324">
        <f t="shared" si="4"/>
        <v>5.619916291978985E-4</v>
      </c>
      <c r="F16" s="325">
        <v>4000</v>
      </c>
      <c r="G16" s="326">
        <f t="shared" si="5"/>
        <v>4.2180170918797388E-2</v>
      </c>
      <c r="H16" s="327">
        <v>4000</v>
      </c>
      <c r="I16" s="328">
        <f t="shared" si="6"/>
        <v>4.2180170918797388E-2</v>
      </c>
      <c r="J16" s="329">
        <f t="shared" si="3"/>
        <v>100</v>
      </c>
    </row>
    <row r="17" spans="1:11" s="340" customFormat="1" ht="15" customHeight="1" thickBot="1" x14ac:dyDescent="0.35">
      <c r="A17" s="330">
        <f t="shared" si="7"/>
        <v>7</v>
      </c>
      <c r="B17" s="331"/>
      <c r="C17" s="332" t="s">
        <v>345</v>
      </c>
      <c r="D17" s="333">
        <v>102625.5</v>
      </c>
      <c r="E17" s="334">
        <f t="shared" si="4"/>
        <v>4.3686975974676877E-2</v>
      </c>
      <c r="F17" s="335">
        <v>98107</v>
      </c>
      <c r="G17" s="336">
        <f t="shared" si="5"/>
        <v>99.063589629066826</v>
      </c>
      <c r="H17" s="337">
        <v>98107</v>
      </c>
      <c r="I17" s="338">
        <f t="shared" si="6"/>
        <v>99.016296175989396</v>
      </c>
      <c r="J17" s="339">
        <f t="shared" si="3"/>
        <v>100</v>
      </c>
    </row>
    <row r="18" spans="1:11" s="349" customFormat="1" ht="15" customHeight="1" thickBot="1" x14ac:dyDescent="0.35">
      <c r="A18" s="341">
        <f t="shared" si="7"/>
        <v>8</v>
      </c>
      <c r="B18" s="342"/>
      <c r="C18" s="343" t="s">
        <v>346</v>
      </c>
      <c r="D18" s="344">
        <f>SUM(D13:D17)</f>
        <v>231517292.77000004</v>
      </c>
      <c r="E18" s="345">
        <f t="shared" si="4"/>
        <v>98.555333781226167</v>
      </c>
      <c r="F18" s="344">
        <f>SUM(F13:F17)</f>
        <v>230412333</v>
      </c>
      <c r="G18" s="346">
        <f t="shared" si="5"/>
        <v>0</v>
      </c>
      <c r="H18" s="344">
        <f>SUM(H13:H17)</f>
        <v>230302333</v>
      </c>
      <c r="I18" s="347">
        <f t="shared" si="6"/>
        <v>0</v>
      </c>
      <c r="J18" s="348">
        <f t="shared" si="3"/>
        <v>99.952259499928758</v>
      </c>
    </row>
    <row r="19" spans="1:11" s="359" customFormat="1" ht="15" customHeight="1" x14ac:dyDescent="0.3">
      <c r="A19" s="350">
        <f t="shared" si="7"/>
        <v>9</v>
      </c>
      <c r="B19" s="351" t="s">
        <v>347</v>
      </c>
      <c r="C19" s="352" t="s">
        <v>348</v>
      </c>
      <c r="D19" s="353"/>
      <c r="E19" s="353"/>
      <c r="F19" s="354"/>
      <c r="G19" s="355"/>
      <c r="H19" s="356"/>
      <c r="I19" s="357"/>
      <c r="J19" s="358"/>
    </row>
    <row r="20" spans="1:11" s="360" customFormat="1" ht="15" customHeight="1" x14ac:dyDescent="0.3">
      <c r="A20" s="320">
        <f t="shared" si="7"/>
        <v>10</v>
      </c>
      <c r="B20" s="321"/>
      <c r="C20" s="322" t="s">
        <v>349</v>
      </c>
      <c r="D20" s="323">
        <v>163691.4</v>
      </c>
      <c r="E20" s="324">
        <f t="shared" si="4"/>
        <v>6.9682313450957351E-2</v>
      </c>
      <c r="F20" s="325">
        <v>328000</v>
      </c>
      <c r="G20" s="326">
        <f t="shared" si="5"/>
        <v>0.36544941014379989</v>
      </c>
      <c r="H20" s="327">
        <v>328000</v>
      </c>
      <c r="I20" s="328">
        <f t="shared" ref="I20:I21" si="8">H21/$F$26*100</f>
        <v>0.22630605202323692</v>
      </c>
      <c r="J20" s="329">
        <f>H20/F20*100</f>
        <v>100</v>
      </c>
    </row>
    <row r="21" spans="1:11" s="267" customFormat="1" ht="15" customHeight="1" x14ac:dyDescent="0.3">
      <c r="A21" s="320">
        <f t="shared" si="7"/>
        <v>11</v>
      </c>
      <c r="B21" s="321"/>
      <c r="C21" s="322" t="s">
        <v>344</v>
      </c>
      <c r="D21" s="323">
        <f>629540.11+595728.71+195765.48</f>
        <v>1421034.2999999998</v>
      </c>
      <c r="E21" s="324">
        <f t="shared" si="4"/>
        <v>0.60492461740300185</v>
      </c>
      <c r="F21" s="325">
        <v>850000</v>
      </c>
      <c r="G21" s="326">
        <f t="shared" si="5"/>
        <v>0</v>
      </c>
      <c r="H21" s="327">
        <f>500000+26366</f>
        <v>526366</v>
      </c>
      <c r="I21" s="328">
        <f t="shared" si="8"/>
        <v>0</v>
      </c>
      <c r="J21" s="329">
        <f>H21/F21*100</f>
        <v>61.925411764705885</v>
      </c>
    </row>
    <row r="22" spans="1:11" s="363" customFormat="1" ht="15" customHeight="1" x14ac:dyDescent="0.3">
      <c r="A22" s="320">
        <f t="shared" si="7"/>
        <v>12</v>
      </c>
      <c r="B22" s="321"/>
      <c r="C22" s="322" t="s">
        <v>350</v>
      </c>
      <c r="D22" s="323">
        <v>46378.89</v>
      </c>
      <c r="E22" s="324"/>
      <c r="F22" s="361"/>
      <c r="G22" s="326"/>
      <c r="H22" s="362"/>
      <c r="I22" s="328"/>
      <c r="J22" s="329"/>
    </row>
    <row r="23" spans="1:11" s="370" customFormat="1" ht="15" customHeight="1" thickBot="1" x14ac:dyDescent="0.35">
      <c r="A23" s="330">
        <f t="shared" si="7"/>
        <v>13</v>
      </c>
      <c r="B23" s="364"/>
      <c r="C23" s="332" t="s">
        <v>351</v>
      </c>
      <c r="D23" s="365">
        <v>1580744.82</v>
      </c>
      <c r="E23" s="366">
        <f t="shared" si="4"/>
        <v>0.67291229736697933</v>
      </c>
      <c r="F23" s="335">
        <v>1000000</v>
      </c>
      <c r="G23" s="367">
        <f t="shared" si="5"/>
        <v>0.93641037093317203</v>
      </c>
      <c r="H23" s="337">
        <v>700000</v>
      </c>
      <c r="I23" s="368">
        <f t="shared" ref="I23" si="9">H24/$F$26*100</f>
        <v>0.66828486805597376</v>
      </c>
      <c r="J23" s="369">
        <f>H23/F23*100</f>
        <v>70</v>
      </c>
    </row>
    <row r="24" spans="1:11" s="349" customFormat="1" ht="15" customHeight="1" thickBot="1" x14ac:dyDescent="0.35">
      <c r="A24" s="341">
        <f t="shared" si="7"/>
        <v>14</v>
      </c>
      <c r="B24" s="342"/>
      <c r="C24" s="343" t="s">
        <v>352</v>
      </c>
      <c r="D24" s="344">
        <f>SUM(D20:D23)</f>
        <v>3211849.4099999997</v>
      </c>
      <c r="E24" s="345">
        <f t="shared" si="4"/>
        <v>1.3672624056296934</v>
      </c>
      <c r="F24" s="344">
        <f>SUM(F20:F23)</f>
        <v>2178000</v>
      </c>
      <c r="G24" s="346">
        <f>F27/$F$26*100</f>
        <v>9.8026430015042791</v>
      </c>
      <c r="H24" s="344">
        <f>SUM(H20:H23)</f>
        <v>1554366</v>
      </c>
      <c r="I24" s="347">
        <f>H27/$F$26*100</f>
        <v>9.8026430015042791</v>
      </c>
      <c r="J24" s="348">
        <f>H24/F24*100</f>
        <v>71.366666666666674</v>
      </c>
    </row>
    <row r="25" spans="1:11" s="349" customFormat="1" ht="22.95" customHeight="1" thickBot="1" x14ac:dyDescent="0.35">
      <c r="A25" s="371">
        <f t="shared" si="7"/>
        <v>15</v>
      </c>
      <c r="B25" s="372" t="s">
        <v>353</v>
      </c>
      <c r="C25" s="343" t="s">
        <v>354</v>
      </c>
      <c r="D25" s="373">
        <v>181830.05</v>
      </c>
      <c r="E25" s="345">
        <f>D27/$D$26*100</f>
        <v>7.1662280097830742</v>
      </c>
      <c r="G25" s="374"/>
      <c r="H25" s="375"/>
      <c r="I25" s="376"/>
      <c r="J25" s="348"/>
    </row>
    <row r="26" spans="1:11" s="349" customFormat="1" ht="15" customHeight="1" thickBot="1" x14ac:dyDescent="0.35">
      <c r="A26" s="341"/>
      <c r="B26" s="342" t="s">
        <v>355</v>
      </c>
      <c r="C26" s="343" t="s">
        <v>356</v>
      </c>
      <c r="D26" s="344">
        <f>SUM(D11,D18,D24,D25)</f>
        <v>234910972.23000005</v>
      </c>
      <c r="E26" s="345">
        <f t="shared" si="4"/>
        <v>100</v>
      </c>
      <c r="F26" s="344">
        <f>SUM(F11,F18,F24,)</f>
        <v>232590333</v>
      </c>
      <c r="G26" s="346">
        <f>F26/$F$26*100</f>
        <v>100</v>
      </c>
      <c r="H26" s="344">
        <f>SUM(H11,H18,H24,)</f>
        <v>231856699</v>
      </c>
      <c r="I26" s="347">
        <f>H26/$F$26*100</f>
        <v>99.684581044045373</v>
      </c>
      <c r="J26" s="348">
        <f>H26/F26*100</f>
        <v>99.684581044045373</v>
      </c>
    </row>
    <row r="27" spans="1:11" s="349" customFormat="1" ht="15" customHeight="1" thickTop="1" thickBot="1" x14ac:dyDescent="0.35">
      <c r="A27" s="377"/>
      <c r="B27" s="378" t="s">
        <v>357</v>
      </c>
      <c r="C27" s="379" t="s">
        <v>358</v>
      </c>
      <c r="D27" s="380">
        <v>16834255.890000001</v>
      </c>
      <c r="E27" s="381"/>
      <c r="F27" s="382">
        <v>22800000</v>
      </c>
      <c r="G27" s="383"/>
      <c r="H27" s="344">
        <v>22800000</v>
      </c>
      <c r="I27" s="384"/>
      <c r="J27" s="385">
        <f>H27/F27*100</f>
        <v>100</v>
      </c>
    </row>
    <row r="28" spans="1:11" s="349" customFormat="1" ht="6.6" customHeight="1" thickTop="1" thickBot="1" x14ac:dyDescent="0.35">
      <c r="A28" s="386"/>
      <c r="B28" s="387"/>
      <c r="C28" s="388"/>
      <c r="D28" s="389"/>
      <c r="E28" s="389"/>
      <c r="F28" s="390"/>
      <c r="G28" s="389"/>
      <c r="H28" s="391"/>
      <c r="I28" s="389"/>
      <c r="J28" s="389"/>
    </row>
    <row r="29" spans="1:11" s="267" customFormat="1" ht="15" customHeight="1" thickTop="1" x14ac:dyDescent="0.25">
      <c r="A29" s="392"/>
      <c r="B29" s="393"/>
      <c r="C29" s="394" t="s">
        <v>359</v>
      </c>
      <c r="D29" s="306"/>
      <c r="E29" s="306"/>
      <c r="F29" s="452"/>
      <c r="G29" s="452"/>
      <c r="H29" s="453"/>
      <c r="I29" s="454"/>
      <c r="J29" s="395"/>
      <c r="K29" s="308"/>
    </row>
    <row r="30" spans="1:11" s="319" customFormat="1" ht="15" customHeight="1" x14ac:dyDescent="0.3">
      <c r="A30" s="309">
        <v>1</v>
      </c>
      <c r="B30" s="310" t="s">
        <v>337</v>
      </c>
      <c r="C30" s="396" t="s">
        <v>360</v>
      </c>
      <c r="D30" s="312"/>
      <c r="E30" s="312"/>
      <c r="F30" s="313"/>
      <c r="G30" s="314" t="str">
        <f t="shared" ref="G30:G58" si="10">IF(F30=0,"",100*F30/pasiva1)</f>
        <v/>
      </c>
      <c r="H30" s="315"/>
      <c r="I30" s="316" t="str">
        <f t="shared" ref="I30" si="11">IF(H30=0,"",100*H30/pasiva1)</f>
        <v/>
      </c>
      <c r="J30" s="317"/>
      <c r="K30" s="318"/>
    </row>
    <row r="31" spans="1:11" s="363" customFormat="1" ht="15" customHeight="1" x14ac:dyDescent="0.3">
      <c r="A31" s="320">
        <f>A30+1</f>
        <v>2</v>
      </c>
      <c r="B31" s="321"/>
      <c r="C31" s="322" t="s">
        <v>361</v>
      </c>
      <c r="D31" s="323">
        <v>78856830</v>
      </c>
      <c r="E31" s="324">
        <f t="shared" ref="E31" si="12">D31/$D$71*100</f>
        <v>33.56881512368723</v>
      </c>
      <c r="F31" s="323">
        <f>+D31</f>
        <v>78856830</v>
      </c>
      <c r="G31" s="326">
        <f t="shared" ref="G31:G53" si="13">F31/$F$71*100</f>
        <v>33.903743518499709</v>
      </c>
      <c r="H31" s="397">
        <f>+F31</f>
        <v>78856830</v>
      </c>
      <c r="I31" s="328">
        <f t="shared" ref="I31" si="14">H31/$F$71*100</f>
        <v>33.903743518499709</v>
      </c>
      <c r="J31" s="329">
        <f>H31/F31*100</f>
        <v>100</v>
      </c>
      <c r="K31" s="398"/>
    </row>
    <row r="32" spans="1:11" s="267" customFormat="1" ht="15" customHeight="1" x14ac:dyDescent="0.3">
      <c r="A32" s="320">
        <f t="shared" ref="A32:A70" si="15">A31+1</f>
        <v>3</v>
      </c>
      <c r="B32" s="321"/>
      <c r="C32" s="322" t="s">
        <v>362</v>
      </c>
      <c r="D32" s="323">
        <v>8.5399999999999991</v>
      </c>
      <c r="E32" s="324"/>
      <c r="F32" s="323"/>
      <c r="G32" s="326"/>
      <c r="H32" s="397"/>
      <c r="I32" s="328"/>
      <c r="J32" s="329"/>
      <c r="K32" s="308"/>
    </row>
    <row r="33" spans="1:12" s="267" customFormat="1" ht="15" customHeight="1" x14ac:dyDescent="0.3">
      <c r="A33" s="320">
        <f t="shared" si="15"/>
        <v>4</v>
      </c>
      <c r="B33" s="321"/>
      <c r="C33" s="322" t="s">
        <v>363</v>
      </c>
      <c r="D33" s="323"/>
      <c r="E33" s="324"/>
      <c r="F33" s="323"/>
      <c r="G33" s="326"/>
      <c r="H33" s="397"/>
      <c r="I33" s="328"/>
      <c r="J33" s="329"/>
      <c r="K33" s="308"/>
    </row>
    <row r="34" spans="1:12" s="267" customFormat="1" ht="15" customHeight="1" x14ac:dyDescent="0.3">
      <c r="A34" s="320">
        <f t="shared" si="15"/>
        <v>5</v>
      </c>
      <c r="B34" s="321"/>
      <c r="C34" s="322" t="s">
        <v>364</v>
      </c>
      <c r="D34" s="323">
        <v>121764729.94</v>
      </c>
      <c r="E34" s="324">
        <f t="shared" ref="E34:E71" si="16">D34/$D$71*100</f>
        <v>51.834415711886507</v>
      </c>
      <c r="F34" s="323">
        <v>121763730</v>
      </c>
      <c r="G34" s="326">
        <f t="shared" si="13"/>
        <v>52.351156796131015</v>
      </c>
      <c r="H34" s="397">
        <f>+F34</f>
        <v>121763730</v>
      </c>
      <c r="I34" s="328">
        <f t="shared" ref="I34" si="17">H34/$F$71*100</f>
        <v>52.351156796131015</v>
      </c>
      <c r="J34" s="329">
        <f>H34/F34*100</f>
        <v>100</v>
      </c>
      <c r="K34" s="308"/>
    </row>
    <row r="35" spans="1:12" s="267" customFormat="1" ht="15" customHeight="1" x14ac:dyDescent="0.3">
      <c r="A35" s="320">
        <f t="shared" si="15"/>
        <v>6</v>
      </c>
      <c r="B35" s="321"/>
      <c r="C35" s="322" t="s">
        <v>365</v>
      </c>
      <c r="D35" s="323"/>
      <c r="E35" s="324"/>
      <c r="F35" s="325"/>
      <c r="G35" s="326"/>
      <c r="H35" s="399"/>
      <c r="I35" s="328"/>
      <c r="J35" s="329"/>
      <c r="K35" s="308"/>
    </row>
    <row r="36" spans="1:12" s="267" customFormat="1" ht="15" customHeight="1" x14ac:dyDescent="0.3">
      <c r="A36" s="320">
        <f t="shared" si="15"/>
        <v>7</v>
      </c>
      <c r="B36" s="321"/>
      <c r="C36" s="322" t="s">
        <v>366</v>
      </c>
      <c r="D36" s="323">
        <v>-3886717</v>
      </c>
      <c r="E36" s="324">
        <f t="shared" si="16"/>
        <v>-1.654548939021417</v>
      </c>
      <c r="F36" s="325">
        <v>-2546837</v>
      </c>
      <c r="G36" s="326">
        <f t="shared" si="13"/>
        <v>-1.0949883279790125</v>
      </c>
      <c r="H36" s="399">
        <v>-2546837</v>
      </c>
      <c r="I36" s="328">
        <f t="shared" ref="I36:I37" si="18">H36/$F$71*100</f>
        <v>-1.0949883279790125</v>
      </c>
      <c r="J36" s="329">
        <f>H36/F36*100</f>
        <v>100</v>
      </c>
      <c r="K36" s="308"/>
      <c r="L36" s="400"/>
    </row>
    <row r="37" spans="1:12" s="267" customFormat="1" ht="15" customHeight="1" x14ac:dyDescent="0.3">
      <c r="A37" s="320">
        <f t="shared" si="15"/>
        <v>8</v>
      </c>
      <c r="B37" s="321"/>
      <c r="C37" s="322" t="s">
        <v>367</v>
      </c>
      <c r="D37" s="323">
        <v>2468497.5</v>
      </c>
      <c r="E37" s="324">
        <f t="shared" si="16"/>
        <v>1.0508225630016337</v>
      </c>
      <c r="F37" s="325">
        <v>1475180</v>
      </c>
      <c r="G37" s="326">
        <f t="shared" si="13"/>
        <v>0.63423960059794937</v>
      </c>
      <c r="H37" s="399">
        <v>1489940</v>
      </c>
      <c r="I37" s="328">
        <f t="shared" si="18"/>
        <v>0.64058552211588338</v>
      </c>
      <c r="J37" s="329">
        <f>H37/F37*100</f>
        <v>101.00055586436909</v>
      </c>
      <c r="K37" s="308"/>
    </row>
    <row r="38" spans="1:12" s="267" customFormat="1" ht="15" customHeight="1" thickBot="1" x14ac:dyDescent="0.35">
      <c r="A38" s="330">
        <f t="shared" si="15"/>
        <v>9</v>
      </c>
      <c r="B38" s="331"/>
      <c r="C38" s="332" t="s">
        <v>368</v>
      </c>
      <c r="D38" s="333"/>
      <c r="E38" s="334"/>
      <c r="F38" s="401"/>
      <c r="G38" s="336"/>
      <c r="H38" s="402"/>
      <c r="I38" s="338"/>
      <c r="J38" s="339"/>
      <c r="K38" s="308"/>
    </row>
    <row r="39" spans="1:12" s="349" customFormat="1" ht="15" customHeight="1" thickBot="1" x14ac:dyDescent="0.35">
      <c r="A39" s="341">
        <f t="shared" si="15"/>
        <v>10</v>
      </c>
      <c r="B39" s="342"/>
      <c r="C39" s="343" t="s">
        <v>369</v>
      </c>
      <c r="D39" s="344">
        <f>SUM(D31:D37)</f>
        <v>199203348.98000002</v>
      </c>
      <c r="E39" s="345">
        <f t="shared" si="16"/>
        <v>84.79950809497376</v>
      </c>
      <c r="F39" s="344">
        <f>SUM(F31:F37)</f>
        <v>199548903</v>
      </c>
      <c r="G39" s="346">
        <f t="shared" si="13"/>
        <v>85.794151587249658</v>
      </c>
      <c r="H39" s="344">
        <f>SUM(H31:H37)</f>
        <v>199563663</v>
      </c>
      <c r="I39" s="347">
        <f t="shared" ref="I39:I42" si="19">H39/$F$71*100</f>
        <v>85.800497508767592</v>
      </c>
      <c r="J39" s="348">
        <f>H39/F39*100</f>
        <v>100.00739668310781</v>
      </c>
    </row>
    <row r="40" spans="1:12" s="349" customFormat="1" ht="15" customHeight="1" thickBot="1" x14ac:dyDescent="0.35">
      <c r="A40" s="341">
        <f t="shared" si="15"/>
        <v>11</v>
      </c>
      <c r="B40" s="342" t="s">
        <v>339</v>
      </c>
      <c r="C40" s="343" t="s">
        <v>370</v>
      </c>
      <c r="D40" s="344">
        <v>1300082.04</v>
      </c>
      <c r="E40" s="345">
        <f t="shared" si="16"/>
        <v>0.55343606440160154</v>
      </c>
      <c r="F40" s="344"/>
      <c r="G40" s="346">
        <f t="shared" si="13"/>
        <v>0</v>
      </c>
      <c r="H40" s="403"/>
      <c r="I40" s="347">
        <f t="shared" si="19"/>
        <v>0</v>
      </c>
      <c r="J40" s="348"/>
    </row>
    <row r="41" spans="1:12" s="415" customFormat="1" ht="15" customHeight="1" x14ac:dyDescent="0.3">
      <c r="A41" s="404">
        <f t="shared" si="15"/>
        <v>12</v>
      </c>
      <c r="B41" s="405" t="s">
        <v>347</v>
      </c>
      <c r="C41" s="406" t="s">
        <v>371</v>
      </c>
      <c r="D41" s="407"/>
      <c r="E41" s="408">
        <f t="shared" si="16"/>
        <v>0</v>
      </c>
      <c r="F41" s="409"/>
      <c r="G41" s="410">
        <f t="shared" si="13"/>
        <v>0</v>
      </c>
      <c r="H41" s="411"/>
      <c r="I41" s="412">
        <f t="shared" si="19"/>
        <v>0</v>
      </c>
      <c r="J41" s="413"/>
      <c r="K41" s="414"/>
    </row>
    <row r="42" spans="1:12" s="267" customFormat="1" ht="15" customHeight="1" x14ac:dyDescent="0.3">
      <c r="A42" s="320">
        <f t="shared" si="15"/>
        <v>13</v>
      </c>
      <c r="B42" s="321"/>
      <c r="C42" s="322" t="s">
        <v>372</v>
      </c>
      <c r="D42" s="323">
        <v>0</v>
      </c>
      <c r="E42" s="324">
        <f t="shared" si="16"/>
        <v>0</v>
      </c>
      <c r="F42" s="325">
        <v>686133</v>
      </c>
      <c r="G42" s="326">
        <f t="shared" si="13"/>
        <v>0.29499635290410176</v>
      </c>
      <c r="H42" s="327">
        <v>686133</v>
      </c>
      <c r="I42" s="328">
        <f t="shared" si="19"/>
        <v>0.29499635290410176</v>
      </c>
      <c r="J42" s="329">
        <f>H42/F42*100</f>
        <v>100</v>
      </c>
      <c r="K42" s="308"/>
    </row>
    <row r="43" spans="1:12" s="267" customFormat="1" ht="22.95" customHeight="1" x14ac:dyDescent="0.3">
      <c r="A43" s="320">
        <f t="shared" si="15"/>
        <v>14</v>
      </c>
      <c r="B43" s="321"/>
      <c r="C43" s="322" t="s">
        <v>373</v>
      </c>
      <c r="D43" s="323"/>
      <c r="E43" s="324"/>
      <c r="F43" s="325"/>
      <c r="G43" s="326"/>
      <c r="H43" s="327"/>
      <c r="I43" s="328"/>
      <c r="J43" s="329"/>
    </row>
    <row r="44" spans="1:12" s="267" customFormat="1" ht="24" customHeight="1" x14ac:dyDescent="0.3">
      <c r="A44" s="320">
        <f t="shared" si="15"/>
        <v>15</v>
      </c>
      <c r="B44" s="321"/>
      <c r="C44" s="322" t="s">
        <v>374</v>
      </c>
      <c r="D44" s="323"/>
      <c r="E44" s="324"/>
      <c r="F44" s="325"/>
      <c r="G44" s="326"/>
      <c r="H44" s="327"/>
      <c r="I44" s="328"/>
      <c r="J44" s="329"/>
    </row>
    <row r="45" spans="1:12" s="267" customFormat="1" ht="21.6" customHeight="1" x14ac:dyDescent="0.3">
      <c r="A45" s="320">
        <f t="shared" si="15"/>
        <v>16</v>
      </c>
      <c r="B45" s="321"/>
      <c r="C45" s="322" t="s">
        <v>375</v>
      </c>
      <c r="D45" s="323"/>
      <c r="E45" s="324"/>
      <c r="F45" s="325"/>
      <c r="G45" s="326"/>
      <c r="H45" s="327"/>
      <c r="I45" s="328"/>
      <c r="J45" s="329"/>
    </row>
    <row r="46" spans="1:12" s="267" customFormat="1" ht="15" customHeight="1" x14ac:dyDescent="0.3">
      <c r="A46" s="320">
        <f t="shared" si="15"/>
        <v>17</v>
      </c>
      <c r="B46" s="321"/>
      <c r="C46" s="322" t="s">
        <v>376</v>
      </c>
      <c r="D46" s="323"/>
      <c r="E46" s="324"/>
      <c r="F46" s="325"/>
      <c r="G46" s="326"/>
      <c r="H46" s="327"/>
      <c r="I46" s="328"/>
      <c r="J46" s="329"/>
    </row>
    <row r="47" spans="1:12" s="267" customFormat="1" ht="21" customHeight="1" x14ac:dyDescent="0.3">
      <c r="A47" s="320">
        <f t="shared" si="15"/>
        <v>18</v>
      </c>
      <c r="B47" s="321"/>
      <c r="C47" s="322" t="s">
        <v>377</v>
      </c>
      <c r="D47" s="323">
        <v>340932.3</v>
      </c>
      <c r="E47" s="324">
        <f t="shared" si="16"/>
        <v>0.14513255666495178</v>
      </c>
      <c r="F47" s="325">
        <v>298632</v>
      </c>
      <c r="G47" s="326">
        <f t="shared" si="13"/>
        <v>0.12839398609374233</v>
      </c>
      <c r="H47" s="327">
        <v>298632</v>
      </c>
      <c r="I47" s="328">
        <f t="shared" ref="I47" si="20">H47/$F$71*100</f>
        <v>0.12839398609374233</v>
      </c>
      <c r="J47" s="329">
        <f>H47/F47*100</f>
        <v>100</v>
      </c>
      <c r="L47" s="400"/>
    </row>
    <row r="48" spans="1:12" s="267" customFormat="1" ht="15" customHeight="1" x14ac:dyDescent="0.3">
      <c r="A48" s="320">
        <f t="shared" si="15"/>
        <v>19</v>
      </c>
      <c r="B48" s="321"/>
      <c r="C48" s="322" t="s">
        <v>378</v>
      </c>
      <c r="D48" s="323"/>
      <c r="E48" s="324"/>
      <c r="F48" s="325"/>
      <c r="G48" s="326"/>
      <c r="H48" s="327"/>
      <c r="I48" s="328"/>
      <c r="J48" s="329"/>
    </row>
    <row r="49" spans="1:10" s="267" customFormat="1" ht="15" customHeight="1" x14ac:dyDescent="0.3">
      <c r="A49" s="320">
        <f t="shared" si="15"/>
        <v>20</v>
      </c>
      <c r="B49" s="321"/>
      <c r="C49" s="322" t="s">
        <v>379</v>
      </c>
      <c r="D49" s="323"/>
      <c r="E49" s="324"/>
      <c r="F49" s="325"/>
      <c r="G49" s="326"/>
      <c r="H49" s="327"/>
      <c r="I49" s="328"/>
      <c r="J49" s="329"/>
    </row>
    <row r="50" spans="1:10" s="267" customFormat="1" ht="15" customHeight="1" x14ac:dyDescent="0.3">
      <c r="A50" s="320">
        <f t="shared" si="15"/>
        <v>21</v>
      </c>
      <c r="B50" s="321"/>
      <c r="C50" s="322" t="s">
        <v>380</v>
      </c>
      <c r="D50" s="323"/>
      <c r="E50" s="324"/>
      <c r="F50" s="325"/>
      <c r="G50" s="326"/>
      <c r="H50" s="327"/>
      <c r="I50" s="328"/>
      <c r="J50" s="329"/>
    </row>
    <row r="51" spans="1:10" s="267" customFormat="1" ht="15" customHeight="1" x14ac:dyDescent="0.3">
      <c r="A51" s="320">
        <f t="shared" si="15"/>
        <v>22</v>
      </c>
      <c r="B51" s="321"/>
      <c r="C51" s="322" t="s">
        <v>381</v>
      </c>
      <c r="D51" s="323">
        <v>760826.96</v>
      </c>
      <c r="E51" s="324">
        <f t="shared" si="16"/>
        <v>0.32387885185540655</v>
      </c>
      <c r="F51" s="325">
        <v>660087</v>
      </c>
      <c r="G51" s="326">
        <f t="shared" si="13"/>
        <v>0.28379812310355257</v>
      </c>
      <c r="H51" s="327">
        <v>660087</v>
      </c>
      <c r="I51" s="328">
        <f t="shared" ref="I51:I53" si="21">H51/$F$71*100</f>
        <v>0.28379812310355257</v>
      </c>
      <c r="J51" s="329">
        <f>H51/F51*100</f>
        <v>100</v>
      </c>
    </row>
    <row r="52" spans="1:10" s="267" customFormat="1" ht="15" customHeight="1" thickBot="1" x14ac:dyDescent="0.35">
      <c r="A52" s="330">
        <f>A51+1</f>
        <v>23</v>
      </c>
      <c r="B52" s="331"/>
      <c r="C52" s="332" t="s">
        <v>382</v>
      </c>
      <c r="D52" s="333">
        <v>26728843.149999999</v>
      </c>
      <c r="E52" s="334">
        <f t="shared" si="16"/>
        <v>11.378286372561309</v>
      </c>
      <c r="F52" s="401">
        <f>+D52</f>
        <v>26728843.149999999</v>
      </c>
      <c r="G52" s="336">
        <f t="shared" si="13"/>
        <v>11.491811713757803</v>
      </c>
      <c r="H52" s="401">
        <f>+F52</f>
        <v>26728843.149999999</v>
      </c>
      <c r="I52" s="338">
        <f t="shared" si="21"/>
        <v>11.491811713757803</v>
      </c>
      <c r="J52" s="339">
        <f>H52/F52*100</f>
        <v>100</v>
      </c>
    </row>
    <row r="53" spans="1:10" s="349" customFormat="1" ht="15" customHeight="1" thickBot="1" x14ac:dyDescent="0.35">
      <c r="A53" s="341">
        <f t="shared" si="15"/>
        <v>24</v>
      </c>
      <c r="B53" s="342"/>
      <c r="C53" s="343" t="s">
        <v>383</v>
      </c>
      <c r="D53" s="344">
        <f>SUM(D42:D52)</f>
        <v>27830602.41</v>
      </c>
      <c r="E53" s="345">
        <f t="shared" si="16"/>
        <v>11.847297781081668</v>
      </c>
      <c r="F53" s="344">
        <f>SUM(F42:F52)</f>
        <v>28373695.149999999</v>
      </c>
      <c r="G53" s="346">
        <f t="shared" si="13"/>
        <v>12.199000175859199</v>
      </c>
      <c r="H53" s="344">
        <f>SUM(H42:H52)</f>
        <v>28373695.149999999</v>
      </c>
      <c r="I53" s="347">
        <f t="shared" si="21"/>
        <v>12.199000175859199</v>
      </c>
      <c r="J53" s="348">
        <f>H53/F53*100</f>
        <v>100</v>
      </c>
    </row>
    <row r="54" spans="1:10" s="415" customFormat="1" ht="15" customHeight="1" x14ac:dyDescent="0.3">
      <c r="A54" s="350">
        <f t="shared" si="15"/>
        <v>25</v>
      </c>
      <c r="B54" s="416" t="s">
        <v>353</v>
      </c>
      <c r="C54" s="352" t="s">
        <v>384</v>
      </c>
      <c r="D54" s="417"/>
      <c r="E54" s="418">
        <f t="shared" si="16"/>
        <v>0</v>
      </c>
      <c r="F54" s="419"/>
      <c r="G54" s="420"/>
      <c r="H54" s="421"/>
      <c r="I54" s="422"/>
      <c r="J54" s="423"/>
    </row>
    <row r="55" spans="1:10" s="267" customFormat="1" ht="15" customHeight="1" x14ac:dyDescent="0.3">
      <c r="A55" s="320">
        <f t="shared" si="15"/>
        <v>26</v>
      </c>
      <c r="B55" s="321"/>
      <c r="C55" s="322" t="s">
        <v>372</v>
      </c>
      <c r="D55" s="323">
        <v>109665.96</v>
      </c>
      <c r="E55" s="324">
        <f t="shared" si="16"/>
        <v>4.66840518012413E-2</v>
      </c>
      <c r="F55" s="325">
        <v>1204735</v>
      </c>
      <c r="G55" s="326">
        <f>F55/$F$71*100</f>
        <v>0.51796434687724247</v>
      </c>
      <c r="H55" s="327">
        <v>900000</v>
      </c>
      <c r="I55" s="328">
        <f>H55/$F$71*100</f>
        <v>0.38694643402035989</v>
      </c>
      <c r="J55" s="329">
        <f>H55/F55*100</f>
        <v>74.705225630532851</v>
      </c>
    </row>
    <row r="56" spans="1:10" s="267" customFormat="1" ht="22.2" customHeight="1" x14ac:dyDescent="0.3">
      <c r="A56" s="320">
        <f t="shared" si="15"/>
        <v>27</v>
      </c>
      <c r="B56" s="321"/>
      <c r="C56" s="322" t="s">
        <v>373</v>
      </c>
      <c r="D56" s="323"/>
      <c r="E56" s="324"/>
      <c r="F56" s="325"/>
      <c r="G56" s="326" t="str">
        <f t="shared" si="10"/>
        <v/>
      </c>
      <c r="H56" s="327"/>
      <c r="I56" s="328" t="str">
        <f t="shared" ref="I56:I58" si="22">IF(H56=0,"",100*H56/pasiva1)</f>
        <v/>
      </c>
      <c r="J56" s="329"/>
    </row>
    <row r="57" spans="1:10" s="267" customFormat="1" ht="21" customHeight="1" x14ac:dyDescent="0.3">
      <c r="A57" s="320">
        <f t="shared" si="15"/>
        <v>28</v>
      </c>
      <c r="B57" s="321"/>
      <c r="C57" s="322" t="s">
        <v>374</v>
      </c>
      <c r="D57" s="323"/>
      <c r="E57" s="324"/>
      <c r="F57" s="325"/>
      <c r="G57" s="326" t="str">
        <f t="shared" ref="G57" si="23">IF(F57=0,"",100*F57/pasiva1)</f>
        <v/>
      </c>
      <c r="H57" s="327"/>
      <c r="I57" s="328" t="str">
        <f t="shared" si="22"/>
        <v/>
      </c>
      <c r="J57" s="329"/>
    </row>
    <row r="58" spans="1:10" s="267" customFormat="1" ht="21" customHeight="1" x14ac:dyDescent="0.3">
      <c r="A58" s="320">
        <f t="shared" si="15"/>
        <v>29</v>
      </c>
      <c r="B58" s="321"/>
      <c r="C58" s="322" t="s">
        <v>375</v>
      </c>
      <c r="D58" s="323"/>
      <c r="E58" s="324"/>
      <c r="F58" s="325"/>
      <c r="G58" s="326" t="str">
        <f t="shared" si="10"/>
        <v/>
      </c>
      <c r="H58" s="327"/>
      <c r="I58" s="328" t="str">
        <f t="shared" si="22"/>
        <v/>
      </c>
      <c r="J58" s="329"/>
    </row>
    <row r="59" spans="1:10" s="267" customFormat="1" ht="15" customHeight="1" x14ac:dyDescent="0.3">
      <c r="A59" s="320">
        <f t="shared" si="15"/>
        <v>30</v>
      </c>
      <c r="B59" s="321"/>
      <c r="C59" s="322" t="s">
        <v>376</v>
      </c>
      <c r="D59" s="323"/>
      <c r="E59" s="324">
        <f t="shared" si="16"/>
        <v>0</v>
      </c>
      <c r="F59" s="325">
        <v>190000</v>
      </c>
      <c r="G59" s="326">
        <f t="shared" ref="G59:G71" si="24">F59/$F$71*100</f>
        <v>8.1688691626520413E-2</v>
      </c>
      <c r="H59" s="327">
        <v>190000</v>
      </c>
      <c r="I59" s="328">
        <f t="shared" ref="I59:I71" si="25">H59/$F$71*100</f>
        <v>8.1688691626520413E-2</v>
      </c>
      <c r="J59" s="329">
        <f>H59/F59*100</f>
        <v>100</v>
      </c>
    </row>
    <row r="60" spans="1:10" s="267" customFormat="1" ht="21.6" customHeight="1" x14ac:dyDescent="0.3">
      <c r="A60" s="320">
        <f t="shared" si="15"/>
        <v>31</v>
      </c>
      <c r="B60" s="321"/>
      <c r="C60" s="322" t="s">
        <v>377</v>
      </c>
      <c r="D60" s="323">
        <v>178244.88</v>
      </c>
      <c r="E60" s="324">
        <f t="shared" si="16"/>
        <v>7.5877630681626632E-2</v>
      </c>
      <c r="F60" s="325">
        <v>137319</v>
      </c>
      <c r="G60" s="326">
        <f t="shared" si="24"/>
        <v>5.9038997081379774E-2</v>
      </c>
      <c r="H60" s="327">
        <v>137319</v>
      </c>
      <c r="I60" s="328">
        <f t="shared" si="25"/>
        <v>5.9038997081379774E-2</v>
      </c>
      <c r="J60" s="329">
        <f>H60/F60*100</f>
        <v>100</v>
      </c>
    </row>
    <row r="61" spans="1:10" s="267" customFormat="1" ht="15" customHeight="1" x14ac:dyDescent="0.3">
      <c r="A61" s="320">
        <f t="shared" si="15"/>
        <v>32</v>
      </c>
      <c r="B61" s="321"/>
      <c r="C61" s="322" t="s">
        <v>378</v>
      </c>
      <c r="D61" s="323">
        <v>225660.84</v>
      </c>
      <c r="E61" s="324">
        <f t="shared" si="16"/>
        <v>9.6062281715051989E-2</v>
      </c>
      <c r="F61" s="325">
        <f>238526-F59</f>
        <v>48526</v>
      </c>
      <c r="G61" s="326">
        <f t="shared" si="24"/>
        <v>2.0863291841413313E-2</v>
      </c>
      <c r="H61" s="327">
        <f>238526-H59</f>
        <v>48526</v>
      </c>
      <c r="I61" s="328">
        <f t="shared" si="25"/>
        <v>2.0863291841413313E-2</v>
      </c>
      <c r="J61" s="329">
        <f>H61/F61*100</f>
        <v>100</v>
      </c>
    </row>
    <row r="62" spans="1:10" s="267" customFormat="1" ht="15" customHeight="1" x14ac:dyDescent="0.3">
      <c r="A62" s="320">
        <f t="shared" si="15"/>
        <v>33</v>
      </c>
      <c r="B62" s="321"/>
      <c r="C62" s="322" t="s">
        <v>379</v>
      </c>
      <c r="D62" s="323">
        <v>809886.78</v>
      </c>
      <c r="E62" s="324">
        <f t="shared" si="16"/>
        <v>0.34476328288796737</v>
      </c>
      <c r="F62" s="325">
        <v>743659</v>
      </c>
      <c r="G62" s="326">
        <f t="shared" si="24"/>
        <v>0.31972910908571867</v>
      </c>
      <c r="H62" s="327">
        <v>400000</v>
      </c>
      <c r="I62" s="328">
        <f t="shared" si="25"/>
        <v>0.17197619289793772</v>
      </c>
      <c r="J62" s="329">
        <f>H62/F62*100</f>
        <v>53.788093736510959</v>
      </c>
    </row>
    <row r="63" spans="1:10" s="267" customFormat="1" ht="15" customHeight="1" x14ac:dyDescent="0.3">
      <c r="A63" s="320">
        <f t="shared" si="15"/>
        <v>34</v>
      </c>
      <c r="B63" s="321"/>
      <c r="C63" s="322" t="s">
        <v>380</v>
      </c>
      <c r="D63" s="323"/>
      <c r="E63" s="324"/>
      <c r="F63" s="325"/>
      <c r="G63" s="326">
        <f t="shared" si="24"/>
        <v>0</v>
      </c>
      <c r="H63" s="327"/>
      <c r="I63" s="328">
        <f t="shared" si="25"/>
        <v>0</v>
      </c>
      <c r="J63" s="329"/>
    </row>
    <row r="64" spans="1:10" s="267" customFormat="1" ht="15" customHeight="1" x14ac:dyDescent="0.3">
      <c r="A64" s="320">
        <f t="shared" si="15"/>
        <v>35</v>
      </c>
      <c r="B64" s="321"/>
      <c r="C64" s="322" t="s">
        <v>385</v>
      </c>
      <c r="D64" s="323">
        <v>192860.67</v>
      </c>
      <c r="E64" s="324">
        <f t="shared" si="16"/>
        <v>8.2099472878385454E-2</v>
      </c>
      <c r="F64" s="325">
        <v>313680</v>
      </c>
      <c r="G64" s="326">
        <f t="shared" si="24"/>
        <v>0.13486373047056277</v>
      </c>
      <c r="H64" s="327">
        <v>313680</v>
      </c>
      <c r="I64" s="328">
        <f t="shared" si="25"/>
        <v>0.13486373047056277</v>
      </c>
      <c r="J64" s="329">
        <f>H64/F64*100</f>
        <v>100</v>
      </c>
    </row>
    <row r="65" spans="1:10" s="267" customFormat="1" ht="15" customHeight="1" x14ac:dyDescent="0.3">
      <c r="A65" s="320">
        <f t="shared" si="15"/>
        <v>36</v>
      </c>
      <c r="B65" s="321"/>
      <c r="C65" s="322" t="s">
        <v>386</v>
      </c>
      <c r="D65" s="323">
        <v>3263090.19</v>
      </c>
      <c r="E65" s="324">
        <f t="shared" si="16"/>
        <v>1.3890752560054396</v>
      </c>
      <c r="F65" s="325">
        <v>618355</v>
      </c>
      <c r="G65" s="326">
        <f t="shared" si="24"/>
        <v>0.26585584689851072</v>
      </c>
      <c r="H65" s="327">
        <v>518355</v>
      </c>
      <c r="I65" s="328">
        <f t="shared" si="25"/>
        <v>0.22286179867402628</v>
      </c>
      <c r="J65" s="329">
        <f>H65/F65*100</f>
        <v>83.828059933209886</v>
      </c>
    </row>
    <row r="66" spans="1:10" s="267" customFormat="1" ht="15" customHeight="1" x14ac:dyDescent="0.3">
      <c r="A66" s="320">
        <f t="shared" si="15"/>
        <v>37</v>
      </c>
      <c r="B66" s="321"/>
      <c r="C66" s="322" t="s">
        <v>387</v>
      </c>
      <c r="D66" s="323"/>
      <c r="E66" s="324"/>
      <c r="F66" s="325"/>
      <c r="G66" s="326">
        <f t="shared" si="24"/>
        <v>0</v>
      </c>
      <c r="H66" s="327"/>
      <c r="I66" s="328">
        <f t="shared" si="25"/>
        <v>0</v>
      </c>
      <c r="J66" s="329"/>
    </row>
    <row r="67" spans="1:10" s="267" customFormat="1" ht="22.2" customHeight="1" x14ac:dyDescent="0.3">
      <c r="A67" s="320">
        <f t="shared" si="15"/>
        <v>38</v>
      </c>
      <c r="B67" s="321"/>
      <c r="C67" s="322" t="s">
        <v>388</v>
      </c>
      <c r="D67" s="323"/>
      <c r="E67" s="324"/>
      <c r="F67" s="325"/>
      <c r="G67" s="326">
        <f t="shared" si="24"/>
        <v>0</v>
      </c>
      <c r="H67" s="327"/>
      <c r="I67" s="328">
        <f t="shared" si="25"/>
        <v>0</v>
      </c>
      <c r="J67" s="329"/>
    </row>
    <row r="68" spans="1:10" s="267" customFormat="1" ht="15" customHeight="1" thickBot="1" x14ac:dyDescent="0.35">
      <c r="A68" s="330">
        <f t="shared" si="15"/>
        <v>39</v>
      </c>
      <c r="B68" s="331"/>
      <c r="C68" s="332" t="s">
        <v>389</v>
      </c>
      <c r="D68" s="333">
        <v>654074.27</v>
      </c>
      <c r="E68" s="334">
        <f t="shared" si="16"/>
        <v>0.2784349592393035</v>
      </c>
      <c r="F68" s="401"/>
      <c r="G68" s="336">
        <f t="shared" si="24"/>
        <v>0</v>
      </c>
      <c r="H68" s="424"/>
      <c r="I68" s="338">
        <f t="shared" si="25"/>
        <v>0</v>
      </c>
      <c r="J68" s="339"/>
    </row>
    <row r="69" spans="1:10" s="349" customFormat="1" ht="15" customHeight="1" thickBot="1" x14ac:dyDescent="0.35">
      <c r="A69" s="341">
        <f t="shared" si="15"/>
        <v>40</v>
      </c>
      <c r="B69" s="342"/>
      <c r="C69" s="343" t="s">
        <v>390</v>
      </c>
      <c r="D69" s="344">
        <f>SUM(D55:D68)</f>
        <v>5433483.5899999999</v>
      </c>
      <c r="E69" s="345">
        <f t="shared" si="16"/>
        <v>2.3129969352090161</v>
      </c>
      <c r="F69" s="344">
        <f>SUM(F55:F68)</f>
        <v>3256274</v>
      </c>
      <c r="G69" s="346">
        <f t="shared" si="24"/>
        <v>1.4000040138813481</v>
      </c>
      <c r="H69" s="344">
        <f>SUM(H55:H68)</f>
        <v>2507880</v>
      </c>
      <c r="I69" s="347">
        <f t="shared" si="25"/>
        <v>1.0782391366122002</v>
      </c>
      <c r="J69" s="348">
        <f>H69/F69*100</f>
        <v>77.016860374771895</v>
      </c>
    </row>
    <row r="70" spans="1:10" s="319" customFormat="1" ht="24" customHeight="1" thickBot="1" x14ac:dyDescent="0.35">
      <c r="A70" s="371">
        <f t="shared" si="15"/>
        <v>41</v>
      </c>
      <c r="B70" s="425" t="s">
        <v>355</v>
      </c>
      <c r="C70" s="343" t="s">
        <v>391</v>
      </c>
      <c r="D70" s="426">
        <v>1143455.29</v>
      </c>
      <c r="E70" s="427">
        <f t="shared" si="16"/>
        <v>0.48676112433396279</v>
      </c>
      <c r="F70" s="426">
        <f>1548780-F60</f>
        <v>1411461</v>
      </c>
      <c r="G70" s="428">
        <f t="shared" si="24"/>
        <v>0.60684422300979024</v>
      </c>
      <c r="H70" s="344">
        <f>1548780-H60</f>
        <v>1411461</v>
      </c>
      <c r="I70" s="429">
        <f t="shared" si="25"/>
        <v>0.60684422300979024</v>
      </c>
      <c r="J70" s="430">
        <f>H70/F70*100</f>
        <v>100</v>
      </c>
    </row>
    <row r="71" spans="1:10" s="319" customFormat="1" ht="15" customHeight="1" thickBot="1" x14ac:dyDescent="0.35">
      <c r="A71" s="431"/>
      <c r="B71" s="432" t="s">
        <v>357</v>
      </c>
      <c r="C71" s="433" t="s">
        <v>392</v>
      </c>
      <c r="D71" s="434">
        <f>SUM(D39,D40,D53,D69,D70)</f>
        <v>234910972.31</v>
      </c>
      <c r="E71" s="435">
        <f t="shared" si="16"/>
        <v>100</v>
      </c>
      <c r="F71" s="434">
        <f>SUM(F39,F40,F53,F69,F70)</f>
        <v>232590333.15000001</v>
      </c>
      <c r="G71" s="436">
        <f t="shared" si="24"/>
        <v>100</v>
      </c>
      <c r="H71" s="344">
        <f>SUM(H39,H40,H53,H69,H70)</f>
        <v>231856699.15000001</v>
      </c>
      <c r="I71" s="437">
        <f t="shared" si="25"/>
        <v>99.684581044248787</v>
      </c>
      <c r="J71" s="438">
        <f>H71/F71*100</f>
        <v>99.684581044248787</v>
      </c>
    </row>
    <row r="72" spans="1:10" s="267" customFormat="1" ht="15" customHeight="1" thickTop="1" thickBot="1" x14ac:dyDescent="0.35">
      <c r="A72" s="377"/>
      <c r="B72" s="378" t="s">
        <v>393</v>
      </c>
      <c r="C72" s="379" t="s">
        <v>358</v>
      </c>
      <c r="D72" s="439">
        <f>22819462-46256</f>
        <v>22773206</v>
      </c>
      <c r="E72" s="381"/>
      <c r="F72" s="439">
        <v>22800000</v>
      </c>
      <c r="G72" s="383"/>
      <c r="H72" s="344">
        <v>22800000</v>
      </c>
      <c r="I72" s="384"/>
      <c r="J72" s="385">
        <f>H72/F72*100</f>
        <v>100</v>
      </c>
    </row>
    <row r="73" spans="1:10" ht="12.6" thickTop="1" x14ac:dyDescent="0.25"/>
    <row r="74" spans="1:10" x14ac:dyDescent="0.25">
      <c r="D74" s="442">
        <f>D26-D71</f>
        <v>-7.9999953508377075E-2</v>
      </c>
      <c r="F74" s="440">
        <f>F26-F71</f>
        <v>-0.15000000596046448</v>
      </c>
      <c r="H74" s="441">
        <f>H26-H71</f>
        <v>-0.15000000596046448</v>
      </c>
    </row>
  </sheetData>
  <mergeCells count="14">
    <mergeCell ref="F10:G10"/>
    <mergeCell ref="H10:I10"/>
    <mergeCell ref="F29:G29"/>
    <mergeCell ref="H29:I29"/>
    <mergeCell ref="A1:J1"/>
    <mergeCell ref="A3:J3"/>
    <mergeCell ref="D5:F5"/>
    <mergeCell ref="A6:A8"/>
    <mergeCell ref="B6:C8"/>
    <mergeCell ref="D6:I6"/>
    <mergeCell ref="J6:J7"/>
    <mergeCell ref="D7:E7"/>
    <mergeCell ref="F7:G7"/>
    <mergeCell ref="H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15"/>
  <sheetViews>
    <sheetView zoomScaleNormal="100" workbookViewId="0">
      <selection activeCell="O17" sqref="O17"/>
    </sheetView>
  </sheetViews>
  <sheetFormatPr defaultColWidth="8.88671875" defaultRowHeight="13.2" x14ac:dyDescent="0.3"/>
  <cols>
    <col min="1" max="1" width="7.44140625" style="105" customWidth="1"/>
    <col min="2" max="2" width="59.5546875" style="105" customWidth="1"/>
    <col min="3" max="3" width="8.6640625" style="105" customWidth="1"/>
    <col min="4" max="4" width="9.5546875" style="146" customWidth="1"/>
    <col min="5" max="5" width="11.6640625" style="105" customWidth="1"/>
    <col min="6" max="6" width="11" style="105" customWidth="1"/>
    <col min="7" max="7" width="10.6640625" style="105" customWidth="1"/>
    <col min="8" max="8" width="8" style="105" customWidth="1"/>
    <col min="9" max="9" width="11" style="105" customWidth="1"/>
    <col min="10" max="10" width="5.33203125" style="105" customWidth="1"/>
    <col min="11" max="11" width="4.33203125" style="105" customWidth="1"/>
    <col min="12" max="12" width="4.5546875" style="105" customWidth="1"/>
    <col min="13" max="13" width="3.5546875" style="105" customWidth="1"/>
    <col min="14" max="16384" width="8.88671875" style="105"/>
  </cols>
  <sheetData>
    <row r="1" spans="1:14" s="104" customFormat="1" x14ac:dyDescent="0.3">
      <c r="A1" s="103"/>
      <c r="D1" s="143"/>
    </row>
    <row r="2" spans="1:14" s="104" customFormat="1" x14ac:dyDescent="0.3">
      <c r="A2" s="104" t="str">
        <f>'[3]1-Zaposlenost'!$A$1</f>
        <v>Trgovačko društvo: Zagrebački velesajam d.o.o.</v>
      </c>
      <c r="D2" s="143"/>
    </row>
    <row r="3" spans="1:14" s="104" customFormat="1" x14ac:dyDescent="0.3">
      <c r="A3" s="479" t="s">
        <v>255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</row>
    <row r="4" spans="1:14" s="104" customFormat="1" ht="14.4" x14ac:dyDescent="0.3">
      <c r="A4" s="24"/>
      <c r="B4" s="24"/>
      <c r="D4" s="143"/>
      <c r="E4" s="24"/>
      <c r="F4" s="24"/>
      <c r="G4" s="24"/>
      <c r="I4" s="480" t="s">
        <v>55</v>
      </c>
      <c r="J4" s="481"/>
      <c r="K4" s="481"/>
      <c r="L4" s="481"/>
    </row>
    <row r="5" spans="1:14" ht="26.4" customHeight="1" x14ac:dyDescent="0.3">
      <c r="A5" s="482" t="s">
        <v>56</v>
      </c>
      <c r="B5" s="476" t="s">
        <v>57</v>
      </c>
      <c r="C5" s="477" t="s">
        <v>268</v>
      </c>
      <c r="D5" s="477" t="s">
        <v>311</v>
      </c>
      <c r="E5" s="477" t="s">
        <v>271</v>
      </c>
      <c r="F5" s="474" t="s">
        <v>270</v>
      </c>
      <c r="G5" s="475"/>
      <c r="H5" s="475"/>
      <c r="I5" s="476"/>
      <c r="J5" s="485" t="s">
        <v>2</v>
      </c>
      <c r="K5" s="486"/>
      <c r="L5" s="484"/>
    </row>
    <row r="6" spans="1:14" ht="41.4" customHeight="1" x14ac:dyDescent="0.3">
      <c r="A6" s="483"/>
      <c r="B6" s="484"/>
      <c r="C6" s="478"/>
      <c r="D6" s="478"/>
      <c r="E6" s="478"/>
      <c r="F6" s="174" t="s">
        <v>256</v>
      </c>
      <c r="G6" s="174" t="s">
        <v>269</v>
      </c>
      <c r="H6" s="174" t="s">
        <v>210</v>
      </c>
      <c r="I6" s="174" t="s">
        <v>315</v>
      </c>
      <c r="J6" s="261" t="s">
        <v>316</v>
      </c>
      <c r="K6" s="261" t="s">
        <v>317</v>
      </c>
      <c r="L6" s="261" t="s">
        <v>318</v>
      </c>
    </row>
    <row r="7" spans="1:14" s="25" customFormat="1" ht="9" customHeight="1" x14ac:dyDescent="0.25">
      <c r="A7" s="10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</row>
    <row r="8" spans="1:14" s="175" customFormat="1" ht="19.95" customHeight="1" x14ac:dyDescent="0.3">
      <c r="A8" s="177" t="s">
        <v>58</v>
      </c>
      <c r="B8" s="177" t="s">
        <v>59</v>
      </c>
      <c r="C8" s="178">
        <f t="shared" ref="C8:H8" si="0">SUM(C9:C33)</f>
        <v>20122</v>
      </c>
      <c r="D8" s="178">
        <f t="shared" si="0"/>
        <v>3332000</v>
      </c>
      <c r="E8" s="178">
        <f t="shared" si="0"/>
        <v>3511500</v>
      </c>
      <c r="F8" s="178">
        <f t="shared" si="0"/>
        <v>2461369</v>
      </c>
      <c r="G8" s="178">
        <f>SUM(G9:G34)</f>
        <v>530881</v>
      </c>
      <c r="H8" s="178">
        <f t="shared" si="0"/>
        <v>585403</v>
      </c>
      <c r="I8" s="178">
        <f t="shared" ref="I8:I68" si="1">+G8+H8</f>
        <v>1116284</v>
      </c>
      <c r="J8" s="178">
        <f t="shared" ref="J8" si="2">+F8/C8*100</f>
        <v>12232.228406719014</v>
      </c>
      <c r="K8" s="179">
        <f t="shared" ref="K8" si="3">+F8/E8*100</f>
        <v>70.094518012245473</v>
      </c>
      <c r="L8" s="179">
        <f>I8/F8*100</f>
        <v>45.352159712745227</v>
      </c>
      <c r="N8" s="176"/>
    </row>
    <row r="9" spans="1:14" ht="28.2" customHeight="1" x14ac:dyDescent="0.3">
      <c r="A9" s="107" t="s">
        <v>60</v>
      </c>
      <c r="B9" s="160" t="s">
        <v>277</v>
      </c>
      <c r="C9" s="240"/>
      <c r="D9" s="240">
        <v>10000</v>
      </c>
      <c r="E9" s="108">
        <v>20000</v>
      </c>
      <c r="F9" s="108">
        <v>15000</v>
      </c>
      <c r="G9" s="108">
        <v>5000</v>
      </c>
      <c r="H9" s="108"/>
      <c r="I9" s="109">
        <f t="shared" si="1"/>
        <v>5000</v>
      </c>
      <c r="J9" s="110"/>
      <c r="K9" s="110">
        <f t="shared" ref="K9:K73" si="4">+F9/E9*100</f>
        <v>75</v>
      </c>
      <c r="L9" s="110">
        <f t="shared" ref="L9:L72" si="5">I9/F9*100</f>
        <v>33.333333333333329</v>
      </c>
      <c r="M9" s="111"/>
    </row>
    <row r="10" spans="1:14" s="115" customFormat="1" x14ac:dyDescent="0.3">
      <c r="A10" s="112" t="s">
        <v>61</v>
      </c>
      <c r="B10" s="157" t="s">
        <v>62</v>
      </c>
      <c r="C10" s="113"/>
      <c r="D10" s="113">
        <v>500</v>
      </c>
      <c r="E10" s="113">
        <v>500</v>
      </c>
      <c r="F10" s="113"/>
      <c r="G10" s="113">
        <v>500</v>
      </c>
      <c r="H10" s="113"/>
      <c r="I10" s="113">
        <f t="shared" si="1"/>
        <v>500</v>
      </c>
      <c r="J10" s="114"/>
      <c r="K10" s="114">
        <f t="shared" si="4"/>
        <v>0</v>
      </c>
      <c r="L10" s="114"/>
    </row>
    <row r="11" spans="1:14" s="115" customFormat="1" x14ac:dyDescent="0.3">
      <c r="A11" s="112" t="s">
        <v>63</v>
      </c>
      <c r="B11" s="157" t="s">
        <v>64</v>
      </c>
      <c r="C11" s="113"/>
      <c r="D11" s="113">
        <v>350000</v>
      </c>
      <c r="E11" s="113">
        <v>332000</v>
      </c>
      <c r="F11" s="113">
        <v>242440</v>
      </c>
      <c r="G11" s="113"/>
      <c r="H11" s="113"/>
      <c r="I11" s="113">
        <f t="shared" si="1"/>
        <v>0</v>
      </c>
      <c r="J11" s="114"/>
      <c r="K11" s="114">
        <f t="shared" si="4"/>
        <v>73.024096385542165</v>
      </c>
      <c r="L11" s="114">
        <f t="shared" si="5"/>
        <v>0</v>
      </c>
    </row>
    <row r="12" spans="1:14" s="115" customFormat="1" x14ac:dyDescent="0.3">
      <c r="A12" s="112" t="s">
        <v>65</v>
      </c>
      <c r="B12" s="157" t="s">
        <v>66</v>
      </c>
      <c r="C12" s="113"/>
      <c r="D12" s="113">
        <v>432000</v>
      </c>
      <c r="E12" s="113">
        <v>880000</v>
      </c>
      <c r="F12" s="113">
        <v>731000</v>
      </c>
      <c r="G12" s="113"/>
      <c r="H12" s="113"/>
      <c r="I12" s="113">
        <f t="shared" si="1"/>
        <v>0</v>
      </c>
      <c r="J12" s="114"/>
      <c r="K12" s="114">
        <f t="shared" si="4"/>
        <v>83.068181818181813</v>
      </c>
      <c r="L12" s="114">
        <f t="shared" si="5"/>
        <v>0</v>
      </c>
    </row>
    <row r="13" spans="1:14" s="115" customFormat="1" ht="26.4" x14ac:dyDescent="0.3">
      <c r="A13" s="258" t="s">
        <v>67</v>
      </c>
      <c r="B13" s="262" t="s">
        <v>279</v>
      </c>
      <c r="C13" s="117"/>
      <c r="D13" s="139">
        <v>227000</v>
      </c>
      <c r="E13" s="139">
        <v>270000</v>
      </c>
      <c r="F13" s="139"/>
      <c r="G13" s="139">
        <v>270000</v>
      </c>
      <c r="H13" s="139">
        <v>217000</v>
      </c>
      <c r="I13" s="139">
        <f t="shared" si="1"/>
        <v>487000</v>
      </c>
      <c r="J13" s="114"/>
      <c r="K13" s="114">
        <f t="shared" si="4"/>
        <v>0</v>
      </c>
      <c r="L13" s="114"/>
    </row>
    <row r="14" spans="1:14" s="115" customFormat="1" x14ac:dyDescent="0.3">
      <c r="A14" s="112" t="s">
        <v>68</v>
      </c>
      <c r="B14" s="157" t="s">
        <v>69</v>
      </c>
      <c r="C14" s="113"/>
      <c r="D14" s="113">
        <v>33000</v>
      </c>
      <c r="E14" s="113">
        <v>220000</v>
      </c>
      <c r="F14" s="113">
        <v>199085</v>
      </c>
      <c r="G14" s="113"/>
      <c r="H14" s="113"/>
      <c r="I14" s="113">
        <f t="shared" si="1"/>
        <v>0</v>
      </c>
      <c r="J14" s="114"/>
      <c r="K14" s="114">
        <f t="shared" si="4"/>
        <v>90.493181818181824</v>
      </c>
      <c r="L14" s="114">
        <f t="shared" si="5"/>
        <v>0</v>
      </c>
    </row>
    <row r="15" spans="1:14" ht="30" customHeight="1" x14ac:dyDescent="0.3">
      <c r="A15" s="116" t="s">
        <v>70</v>
      </c>
      <c r="B15" s="158" t="s">
        <v>71</v>
      </c>
      <c r="C15" s="113"/>
      <c r="D15" s="109">
        <v>300000</v>
      </c>
      <c r="E15" s="109">
        <v>25000</v>
      </c>
      <c r="F15" s="113"/>
      <c r="G15" s="109">
        <v>25000</v>
      </c>
      <c r="H15" s="109"/>
      <c r="I15" s="109">
        <f t="shared" si="1"/>
        <v>25000</v>
      </c>
      <c r="J15" s="113"/>
      <c r="K15" s="113">
        <f t="shared" si="4"/>
        <v>0</v>
      </c>
      <c r="L15" s="113"/>
      <c r="M15" s="111"/>
    </row>
    <row r="16" spans="1:14" s="115" customFormat="1" x14ac:dyDescent="0.3">
      <c r="A16" s="112" t="s">
        <v>72</v>
      </c>
      <c r="B16" s="157" t="s">
        <v>278</v>
      </c>
      <c r="C16" s="113"/>
      <c r="D16" s="113">
        <v>26000</v>
      </c>
      <c r="E16" s="113">
        <v>26000</v>
      </c>
      <c r="F16" s="113">
        <f>5230+8389</f>
        <v>13619</v>
      </c>
      <c r="G16" s="113">
        <f>E16-F16</f>
        <v>12381</v>
      </c>
      <c r="H16" s="113">
        <f>48619-26000</f>
        <v>22619</v>
      </c>
      <c r="I16" s="113">
        <f t="shared" si="1"/>
        <v>35000</v>
      </c>
      <c r="J16" s="114"/>
      <c r="K16" s="114">
        <f t="shared" si="4"/>
        <v>52.380769230769232</v>
      </c>
      <c r="L16" s="114">
        <f t="shared" si="5"/>
        <v>256.99390557309641</v>
      </c>
    </row>
    <row r="17" spans="1:13" s="115" customFormat="1" ht="26.4" x14ac:dyDescent="0.3">
      <c r="A17" s="112" t="s">
        <v>73</v>
      </c>
      <c r="B17" s="159" t="s">
        <v>74</v>
      </c>
      <c r="C17" s="113"/>
      <c r="D17" s="113">
        <v>5000</v>
      </c>
      <c r="E17" s="113">
        <v>35000</v>
      </c>
      <c r="F17" s="113"/>
      <c r="G17" s="113"/>
      <c r="H17" s="113"/>
      <c r="I17" s="113">
        <f t="shared" si="1"/>
        <v>0</v>
      </c>
      <c r="J17" s="114"/>
      <c r="K17" s="114">
        <f t="shared" si="4"/>
        <v>0</v>
      </c>
      <c r="L17" s="114"/>
    </row>
    <row r="18" spans="1:13" s="115" customFormat="1" x14ac:dyDescent="0.3">
      <c r="A18" s="258" t="s">
        <v>75</v>
      </c>
      <c r="B18" s="263" t="s">
        <v>76</v>
      </c>
      <c r="C18" s="117"/>
      <c r="D18" s="117">
        <v>1600000</v>
      </c>
      <c r="E18" s="117">
        <v>1430000</v>
      </c>
      <c r="F18" s="117">
        <v>1193712</v>
      </c>
      <c r="G18" s="113"/>
      <c r="H18" s="113"/>
      <c r="I18" s="113">
        <f t="shared" si="1"/>
        <v>0</v>
      </c>
      <c r="J18" s="114"/>
      <c r="K18" s="114">
        <f t="shared" si="4"/>
        <v>83.476363636363644</v>
      </c>
      <c r="L18" s="114">
        <f t="shared" si="5"/>
        <v>0</v>
      </c>
    </row>
    <row r="19" spans="1:13" s="115" customFormat="1" x14ac:dyDescent="0.3">
      <c r="A19" s="258" t="s">
        <v>77</v>
      </c>
      <c r="B19" s="157" t="s">
        <v>78</v>
      </c>
      <c r="C19" s="113"/>
      <c r="D19" s="113">
        <v>66000</v>
      </c>
      <c r="E19" s="113">
        <v>57000</v>
      </c>
      <c r="F19" s="113">
        <v>56780</v>
      </c>
      <c r="G19" s="113"/>
      <c r="H19" s="113"/>
      <c r="I19" s="113">
        <f t="shared" si="1"/>
        <v>0</v>
      </c>
      <c r="J19" s="114"/>
      <c r="K19" s="114">
        <f t="shared" si="4"/>
        <v>99.614035087719301</v>
      </c>
      <c r="L19" s="114">
        <f t="shared" si="5"/>
        <v>0</v>
      </c>
    </row>
    <row r="20" spans="1:13" s="115" customFormat="1" x14ac:dyDescent="0.3">
      <c r="A20" s="112" t="s">
        <v>79</v>
      </c>
      <c r="B20" s="157" t="s">
        <v>80</v>
      </c>
      <c r="C20" s="113"/>
      <c r="D20" s="113">
        <v>26500</v>
      </c>
      <c r="E20" s="113">
        <v>25000</v>
      </c>
      <c r="F20" s="113"/>
      <c r="G20" s="113">
        <v>25000</v>
      </c>
      <c r="H20" s="113">
        <v>15000</v>
      </c>
      <c r="I20" s="113">
        <f t="shared" si="1"/>
        <v>40000</v>
      </c>
      <c r="J20" s="114"/>
      <c r="K20" s="114">
        <f t="shared" si="4"/>
        <v>0</v>
      </c>
      <c r="L20" s="114"/>
    </row>
    <row r="21" spans="1:13" s="115" customFormat="1" x14ac:dyDescent="0.3">
      <c r="A21" s="112" t="s">
        <v>81</v>
      </c>
      <c r="B21" s="157" t="s">
        <v>82</v>
      </c>
      <c r="C21" s="113"/>
      <c r="D21" s="113">
        <v>10000</v>
      </c>
      <c r="E21" s="113">
        <v>10000</v>
      </c>
      <c r="F21" s="113"/>
      <c r="G21" s="113">
        <v>10000</v>
      </c>
      <c r="H21" s="113"/>
      <c r="I21" s="113">
        <f t="shared" si="1"/>
        <v>10000</v>
      </c>
      <c r="J21" s="114"/>
      <c r="K21" s="114">
        <f t="shared" si="4"/>
        <v>0</v>
      </c>
      <c r="L21" s="114"/>
    </row>
    <row r="22" spans="1:13" s="115" customFormat="1" x14ac:dyDescent="0.3">
      <c r="A22" s="112" t="s">
        <v>83</v>
      </c>
      <c r="B22" s="157" t="s">
        <v>84</v>
      </c>
      <c r="C22" s="113"/>
      <c r="D22" s="113">
        <v>100000</v>
      </c>
      <c r="E22" s="113">
        <v>100000</v>
      </c>
      <c r="F22" s="113"/>
      <c r="G22" s="113">
        <v>100000</v>
      </c>
      <c r="H22" s="113"/>
      <c r="I22" s="113">
        <f t="shared" si="1"/>
        <v>100000</v>
      </c>
      <c r="J22" s="114"/>
      <c r="K22" s="114">
        <f t="shared" si="4"/>
        <v>0</v>
      </c>
      <c r="L22" s="114"/>
    </row>
    <row r="23" spans="1:13" s="115" customFormat="1" x14ac:dyDescent="0.3">
      <c r="A23" s="112" t="s">
        <v>85</v>
      </c>
      <c r="B23" s="157" t="s">
        <v>86</v>
      </c>
      <c r="C23" s="113"/>
      <c r="D23" s="113">
        <v>21000</v>
      </c>
      <c r="E23" s="113">
        <v>21000</v>
      </c>
      <c r="F23" s="113"/>
      <c r="G23" s="113">
        <v>21000</v>
      </c>
      <c r="H23" s="113"/>
      <c r="I23" s="113">
        <f t="shared" si="1"/>
        <v>21000</v>
      </c>
      <c r="J23" s="114"/>
      <c r="K23" s="114">
        <f t="shared" si="4"/>
        <v>0</v>
      </c>
      <c r="L23" s="114"/>
    </row>
    <row r="24" spans="1:13" s="115" customFormat="1" x14ac:dyDescent="0.3">
      <c r="A24" s="112" t="s">
        <v>87</v>
      </c>
      <c r="B24" s="157" t="s">
        <v>88</v>
      </c>
      <c r="C24" s="113"/>
      <c r="D24" s="113">
        <v>25000</v>
      </c>
      <c r="E24" s="113">
        <v>5000</v>
      </c>
      <c r="F24" s="113"/>
      <c r="G24" s="113"/>
      <c r="H24" s="113"/>
      <c r="I24" s="113">
        <f t="shared" si="1"/>
        <v>0</v>
      </c>
      <c r="J24" s="114"/>
      <c r="K24" s="114">
        <f t="shared" si="4"/>
        <v>0</v>
      </c>
      <c r="L24" s="114"/>
    </row>
    <row r="25" spans="1:13" s="115" customFormat="1" x14ac:dyDescent="0.3">
      <c r="A25" s="118" t="s">
        <v>89</v>
      </c>
      <c r="B25" s="112" t="s">
        <v>90</v>
      </c>
      <c r="C25" s="113"/>
      <c r="D25" s="113">
        <v>50000</v>
      </c>
      <c r="E25" s="113">
        <v>5000</v>
      </c>
      <c r="F25" s="113">
        <v>9733</v>
      </c>
      <c r="G25" s="113"/>
      <c r="H25" s="113"/>
      <c r="I25" s="113">
        <f t="shared" si="1"/>
        <v>0</v>
      </c>
      <c r="J25" s="114"/>
      <c r="K25" s="114">
        <f t="shared" si="4"/>
        <v>194.66000000000003</v>
      </c>
      <c r="L25" s="114">
        <f t="shared" si="5"/>
        <v>0</v>
      </c>
    </row>
    <row r="26" spans="1:13" s="115" customFormat="1" x14ac:dyDescent="0.3">
      <c r="A26" s="112" t="s">
        <v>91</v>
      </c>
      <c r="B26" s="157" t="s">
        <v>92</v>
      </c>
      <c r="C26" s="113"/>
      <c r="D26" s="113">
        <v>50000</v>
      </c>
      <c r="E26" s="113">
        <v>5000</v>
      </c>
      <c r="F26" s="113"/>
      <c r="G26" s="113">
        <v>5000</v>
      </c>
      <c r="H26" s="113"/>
      <c r="I26" s="113">
        <f t="shared" si="1"/>
        <v>5000</v>
      </c>
      <c r="J26" s="114"/>
      <c r="K26" s="114">
        <f t="shared" si="4"/>
        <v>0</v>
      </c>
      <c r="L26" s="114"/>
    </row>
    <row r="27" spans="1:13" s="115" customFormat="1" x14ac:dyDescent="0.3">
      <c r="A27" s="258" t="s">
        <v>93</v>
      </c>
      <c r="B27" s="157" t="s">
        <v>272</v>
      </c>
      <c r="C27" s="113"/>
      <c r="D27" s="113"/>
      <c r="E27" s="113"/>
      <c r="F27" s="113"/>
      <c r="G27" s="113"/>
      <c r="H27" s="113">
        <v>40000</v>
      </c>
      <c r="I27" s="113">
        <f t="shared" si="1"/>
        <v>40000</v>
      </c>
      <c r="J27" s="114"/>
      <c r="K27" s="114"/>
      <c r="L27" s="114"/>
    </row>
    <row r="28" spans="1:13" s="115" customFormat="1" x14ac:dyDescent="0.3">
      <c r="A28" s="258" t="s">
        <v>257</v>
      </c>
      <c r="B28" s="157" t="s">
        <v>273</v>
      </c>
      <c r="C28" s="113"/>
      <c r="D28" s="144"/>
      <c r="E28" s="113"/>
      <c r="F28" s="113"/>
      <c r="G28" s="113"/>
      <c r="H28" s="113">
        <v>66000</v>
      </c>
      <c r="I28" s="113">
        <f t="shared" si="1"/>
        <v>66000</v>
      </c>
      <c r="J28" s="114"/>
      <c r="K28" s="114"/>
      <c r="L28" s="114"/>
    </row>
    <row r="29" spans="1:13" s="156" customFormat="1" x14ac:dyDescent="0.3">
      <c r="A29" s="116" t="s">
        <v>258</v>
      </c>
      <c r="B29" s="112" t="s">
        <v>274</v>
      </c>
      <c r="C29" s="144"/>
      <c r="D29" s="144"/>
      <c r="E29" s="144"/>
      <c r="F29" s="144"/>
      <c r="G29" s="144"/>
      <c r="H29" s="117">
        <v>224784</v>
      </c>
      <c r="I29" s="113">
        <f t="shared" si="1"/>
        <v>224784</v>
      </c>
      <c r="J29" s="114"/>
      <c r="K29" s="114"/>
      <c r="L29" s="114"/>
      <c r="M29" s="115"/>
    </row>
    <row r="30" spans="1:13" s="115" customFormat="1" x14ac:dyDescent="0.3">
      <c r="A30" s="116" t="s">
        <v>275</v>
      </c>
      <c r="B30" s="157" t="s">
        <v>246</v>
      </c>
      <c r="C30" s="113"/>
      <c r="D30" s="144"/>
      <c r="E30" s="113">
        <v>45000</v>
      </c>
      <c r="F30" s="113"/>
      <c r="G30" s="113">
        <v>45000</v>
      </c>
      <c r="H30" s="113"/>
      <c r="I30" s="113">
        <f t="shared" si="1"/>
        <v>45000</v>
      </c>
      <c r="J30" s="114"/>
      <c r="K30" s="114">
        <f t="shared" si="4"/>
        <v>0</v>
      </c>
      <c r="L30" s="114"/>
    </row>
    <row r="31" spans="1:13" s="115" customFormat="1" x14ac:dyDescent="0.3">
      <c r="A31" s="116" t="s">
        <v>280</v>
      </c>
      <c r="B31" s="157" t="s">
        <v>289</v>
      </c>
      <c r="C31" s="113">
        <v>9978</v>
      </c>
      <c r="D31" s="144"/>
      <c r="E31" s="113"/>
      <c r="F31" s="113"/>
      <c r="G31" s="113"/>
      <c r="H31" s="113"/>
      <c r="I31" s="113">
        <f t="shared" si="1"/>
        <v>0</v>
      </c>
      <c r="J31" s="114">
        <f t="shared" ref="J31:J72" si="6">+F31/C31*100</f>
        <v>0</v>
      </c>
      <c r="K31" s="114"/>
      <c r="L31" s="114"/>
    </row>
    <row r="32" spans="1:13" s="115" customFormat="1" x14ac:dyDescent="0.3">
      <c r="A32" s="116" t="s">
        <v>281</v>
      </c>
      <c r="B32" s="238" t="s">
        <v>290</v>
      </c>
      <c r="C32" s="113">
        <v>8800</v>
      </c>
      <c r="D32" s="144"/>
      <c r="E32" s="113"/>
      <c r="F32" s="113"/>
      <c r="G32" s="113"/>
      <c r="H32" s="113"/>
      <c r="I32" s="113">
        <f t="shared" si="1"/>
        <v>0</v>
      </c>
      <c r="J32" s="114">
        <f t="shared" si="6"/>
        <v>0</v>
      </c>
      <c r="K32" s="114"/>
      <c r="L32" s="114"/>
    </row>
    <row r="33" spans="1:13" ht="13.95" customHeight="1" x14ac:dyDescent="0.3">
      <c r="A33" s="116" t="s">
        <v>292</v>
      </c>
      <c r="B33" s="239" t="s">
        <v>291</v>
      </c>
      <c r="C33" s="113">
        <v>1344</v>
      </c>
      <c r="D33" s="144"/>
      <c r="E33" s="113"/>
      <c r="F33" s="113"/>
      <c r="G33" s="113"/>
      <c r="H33" s="113"/>
      <c r="I33" s="113">
        <f t="shared" si="1"/>
        <v>0</v>
      </c>
      <c r="J33" s="117">
        <f t="shared" si="6"/>
        <v>0</v>
      </c>
      <c r="K33" s="117"/>
      <c r="L33" s="117"/>
      <c r="M33" s="111"/>
    </row>
    <row r="34" spans="1:13" ht="13.95" customHeight="1" x14ac:dyDescent="0.3">
      <c r="A34" s="116" t="s">
        <v>322</v>
      </c>
      <c r="B34" s="239" t="s">
        <v>151</v>
      </c>
      <c r="C34" s="113"/>
      <c r="D34" s="144"/>
      <c r="E34" s="113"/>
      <c r="F34" s="113"/>
      <c r="G34" s="113">
        <v>12000</v>
      </c>
      <c r="H34" s="113"/>
      <c r="I34" s="113">
        <f t="shared" si="1"/>
        <v>12000</v>
      </c>
      <c r="J34" s="117"/>
      <c r="K34" s="117"/>
      <c r="L34" s="117"/>
      <c r="M34" s="111"/>
    </row>
    <row r="35" spans="1:13" s="184" customFormat="1" ht="16.95" customHeight="1" x14ac:dyDescent="0.3">
      <c r="A35" s="185" t="s">
        <v>0</v>
      </c>
      <c r="B35" s="185" t="s">
        <v>94</v>
      </c>
      <c r="C35" s="186">
        <f t="shared" ref="C35:E35" si="7">+C36+C70+C87</f>
        <v>380053</v>
      </c>
      <c r="D35" s="186">
        <f t="shared" si="7"/>
        <v>727954</v>
      </c>
      <c r="E35" s="186">
        <f t="shared" si="7"/>
        <v>720029</v>
      </c>
      <c r="F35" s="186">
        <f>+F36+F70+F87</f>
        <v>278447</v>
      </c>
      <c r="G35" s="186">
        <f>+G36+G70+G87</f>
        <v>387914</v>
      </c>
      <c r="H35" s="186">
        <f>+H36+H70+H87</f>
        <v>69285</v>
      </c>
      <c r="I35" s="186">
        <f>+G35+H35</f>
        <v>457199</v>
      </c>
      <c r="J35" s="186">
        <f t="shared" si="6"/>
        <v>73.265307733395076</v>
      </c>
      <c r="K35" s="186">
        <f t="shared" si="4"/>
        <v>38.671636836849629</v>
      </c>
      <c r="L35" s="186">
        <f t="shared" si="5"/>
        <v>164.19605885500653</v>
      </c>
      <c r="M35" s="187"/>
    </row>
    <row r="36" spans="1:13" x14ac:dyDescent="0.3">
      <c r="A36" s="119" t="s">
        <v>95</v>
      </c>
      <c r="B36" s="120" t="s">
        <v>96</v>
      </c>
      <c r="C36" s="121">
        <f t="shared" ref="C36:E36" si="8">+C37+C47+C53+C58+C59</f>
        <v>276430</v>
      </c>
      <c r="D36" s="121">
        <f t="shared" si="8"/>
        <v>491996</v>
      </c>
      <c r="E36" s="121">
        <f t="shared" si="8"/>
        <v>456996</v>
      </c>
      <c r="F36" s="121">
        <f>+F37+F47+F53+F58+F59</f>
        <v>190331</v>
      </c>
      <c r="G36" s="121">
        <f>+G37+G47+G53+G58+G59</f>
        <v>237072</v>
      </c>
      <c r="H36" s="121">
        <f>+H37+H47+H53+H58+H59</f>
        <v>60160</v>
      </c>
      <c r="I36" s="121">
        <f>+G36+H36</f>
        <v>297232</v>
      </c>
      <c r="J36" s="121">
        <f t="shared" si="6"/>
        <v>68.853235900589667</v>
      </c>
      <c r="K36" s="121">
        <f t="shared" si="4"/>
        <v>41.648285761800977</v>
      </c>
      <c r="L36" s="121">
        <f t="shared" si="5"/>
        <v>156.16583740956546</v>
      </c>
    </row>
    <row r="37" spans="1:13" x14ac:dyDescent="0.3">
      <c r="A37" s="122" t="s">
        <v>97</v>
      </c>
      <c r="B37" s="112" t="s">
        <v>98</v>
      </c>
      <c r="C37" s="113">
        <f t="shared" ref="C37:D37" si="9">+C38+C39+C43+C46</f>
        <v>18301</v>
      </c>
      <c r="D37" s="113">
        <f t="shared" si="9"/>
        <v>48974</v>
      </c>
      <c r="E37" s="113">
        <f>+E38+E39+E43+E46</f>
        <v>52474</v>
      </c>
      <c r="F37" s="113">
        <f>+F38+F39+F43+F46</f>
        <v>31206</v>
      </c>
      <c r="G37" s="113">
        <f>+G38+G39+G43+G46</f>
        <v>24743</v>
      </c>
      <c r="H37" s="113">
        <f>+H38+H39+H43+H46</f>
        <v>23424</v>
      </c>
      <c r="I37" s="113">
        <f>+G37+H37</f>
        <v>48167</v>
      </c>
      <c r="J37" s="113">
        <f t="shared" si="6"/>
        <v>170.51527238948691</v>
      </c>
      <c r="K37" s="113">
        <f t="shared" si="4"/>
        <v>59.469451537904483</v>
      </c>
      <c r="L37" s="113">
        <f t="shared" si="5"/>
        <v>154.35172723194256</v>
      </c>
    </row>
    <row r="38" spans="1:13" s="115" customFormat="1" x14ac:dyDescent="0.3">
      <c r="A38" s="123" t="s">
        <v>99</v>
      </c>
      <c r="B38" s="123" t="s">
        <v>100</v>
      </c>
      <c r="C38" s="114"/>
      <c r="D38" s="114">
        <v>0</v>
      </c>
      <c r="E38" s="114">
        <v>0</v>
      </c>
      <c r="F38" s="114"/>
      <c r="G38" s="114"/>
      <c r="H38" s="114"/>
      <c r="I38" s="113">
        <f t="shared" si="1"/>
        <v>0</v>
      </c>
      <c r="J38" s="114"/>
      <c r="K38" s="114"/>
      <c r="L38" s="114"/>
    </row>
    <row r="39" spans="1:13" x14ac:dyDescent="0.3">
      <c r="A39" s="112" t="s">
        <v>101</v>
      </c>
      <c r="B39" s="123" t="s">
        <v>259</v>
      </c>
      <c r="C39" s="114">
        <f t="shared" ref="C39:H39" si="10">+SUM(C40:C42)</f>
        <v>15399</v>
      </c>
      <c r="D39" s="114">
        <f t="shared" si="10"/>
        <v>30101</v>
      </c>
      <c r="E39" s="114">
        <f t="shared" si="10"/>
        <v>30101</v>
      </c>
      <c r="F39" s="114">
        <f>+SUM(F40:F42)</f>
        <v>25500</v>
      </c>
      <c r="G39" s="114">
        <f t="shared" si="10"/>
        <v>2370</v>
      </c>
      <c r="H39" s="114">
        <f t="shared" si="10"/>
        <v>19130</v>
      </c>
      <c r="I39" s="114">
        <f t="shared" si="1"/>
        <v>21500</v>
      </c>
      <c r="J39" s="114">
        <f t="shared" si="6"/>
        <v>165.59516851743618</v>
      </c>
      <c r="K39" s="114">
        <f t="shared" si="4"/>
        <v>84.714793528454209</v>
      </c>
      <c r="L39" s="114">
        <f t="shared" si="5"/>
        <v>84.313725490196077</v>
      </c>
      <c r="M39" s="111"/>
    </row>
    <row r="40" spans="1:13" x14ac:dyDescent="0.3">
      <c r="A40" s="112" t="s">
        <v>102</v>
      </c>
      <c r="B40" s="112" t="s">
        <v>260</v>
      </c>
      <c r="C40" s="113">
        <v>15399</v>
      </c>
      <c r="D40" s="113">
        <v>24601</v>
      </c>
      <c r="E40" s="113">
        <v>24601</v>
      </c>
      <c r="F40" s="114">
        <v>22370</v>
      </c>
      <c r="G40" s="113"/>
      <c r="H40" s="113">
        <f>26500-F40+10000</f>
        <v>14130</v>
      </c>
      <c r="I40" s="113">
        <f t="shared" si="1"/>
        <v>14130</v>
      </c>
      <c r="J40" s="113">
        <f t="shared" si="6"/>
        <v>145.26917332294303</v>
      </c>
      <c r="K40" s="113">
        <f t="shared" si="4"/>
        <v>90.931262956790377</v>
      </c>
      <c r="L40" s="113">
        <f t="shared" si="5"/>
        <v>63.164953062136789</v>
      </c>
      <c r="M40" s="111"/>
    </row>
    <row r="41" spans="1:13" s="115" customFormat="1" x14ac:dyDescent="0.3">
      <c r="A41" s="123" t="s">
        <v>104</v>
      </c>
      <c r="B41" s="123" t="s">
        <v>105</v>
      </c>
      <c r="C41" s="114"/>
      <c r="D41" s="114">
        <v>500</v>
      </c>
      <c r="E41" s="114">
        <v>500</v>
      </c>
      <c r="F41" s="114"/>
      <c r="G41" s="114">
        <v>500</v>
      </c>
      <c r="H41" s="114"/>
      <c r="I41" s="113">
        <f t="shared" si="1"/>
        <v>500</v>
      </c>
      <c r="J41" s="114"/>
      <c r="K41" s="114">
        <f t="shared" si="4"/>
        <v>0</v>
      </c>
      <c r="L41" s="114"/>
      <c r="M41" s="111"/>
    </row>
    <row r="42" spans="1:13" s="115" customFormat="1" x14ac:dyDescent="0.3">
      <c r="A42" s="123" t="s">
        <v>106</v>
      </c>
      <c r="B42" s="123" t="s">
        <v>107</v>
      </c>
      <c r="C42" s="114"/>
      <c r="D42" s="114">
        <v>5000</v>
      </c>
      <c r="E42" s="114">
        <v>5000</v>
      </c>
      <c r="F42" s="114">
        <v>3130</v>
      </c>
      <c r="G42" s="114">
        <f>5000-F42</f>
        <v>1870</v>
      </c>
      <c r="H42" s="114">
        <v>5000</v>
      </c>
      <c r="I42" s="113">
        <f t="shared" si="1"/>
        <v>6870</v>
      </c>
      <c r="J42" s="114"/>
      <c r="K42" s="114">
        <f t="shared" si="4"/>
        <v>62.6</v>
      </c>
      <c r="L42" s="114">
        <f t="shared" si="5"/>
        <v>219.48881789137383</v>
      </c>
      <c r="M42" s="111"/>
    </row>
    <row r="43" spans="1:13" s="115" customFormat="1" x14ac:dyDescent="0.3">
      <c r="A43" s="123" t="s">
        <v>108</v>
      </c>
      <c r="B43" s="123" t="s">
        <v>109</v>
      </c>
      <c r="C43" s="114">
        <v>1127</v>
      </c>
      <c r="D43" s="114">
        <f>D44+D45</f>
        <v>18873</v>
      </c>
      <c r="E43" s="114">
        <f>E44+E45</f>
        <v>22373</v>
      </c>
      <c r="F43" s="114">
        <f>F44+F45</f>
        <v>0</v>
      </c>
      <c r="G43" s="114">
        <f t="shared" ref="G43:H43" si="11">G44+G45</f>
        <v>22373</v>
      </c>
      <c r="H43" s="114">
        <f t="shared" si="11"/>
        <v>0</v>
      </c>
      <c r="I43" s="113">
        <f t="shared" si="1"/>
        <v>22373</v>
      </c>
      <c r="J43" s="114">
        <f t="shared" si="6"/>
        <v>0</v>
      </c>
      <c r="K43" s="114">
        <f t="shared" si="4"/>
        <v>0</v>
      </c>
      <c r="L43" s="114"/>
      <c r="M43" s="111"/>
    </row>
    <row r="44" spans="1:13" s="115" customFormat="1" x14ac:dyDescent="0.3">
      <c r="A44" s="123" t="s">
        <v>110</v>
      </c>
      <c r="B44" s="123" t="s">
        <v>111</v>
      </c>
      <c r="C44" s="114"/>
      <c r="D44" s="114">
        <v>18873</v>
      </c>
      <c r="E44" s="114">
        <v>18873</v>
      </c>
      <c r="F44" s="114"/>
      <c r="G44" s="114">
        <v>18873</v>
      </c>
      <c r="H44" s="114"/>
      <c r="I44" s="113">
        <f t="shared" si="1"/>
        <v>18873</v>
      </c>
      <c r="J44" s="114"/>
      <c r="K44" s="114">
        <f t="shared" si="4"/>
        <v>0</v>
      </c>
      <c r="L44" s="114"/>
      <c r="M44" s="111"/>
    </row>
    <row r="45" spans="1:13" s="115" customFormat="1" x14ac:dyDescent="0.3">
      <c r="A45" s="123" t="s">
        <v>112</v>
      </c>
      <c r="B45" s="123" t="s">
        <v>249</v>
      </c>
      <c r="C45" s="114"/>
      <c r="D45" s="114"/>
      <c r="E45" s="114">
        <v>3500</v>
      </c>
      <c r="F45" s="114"/>
      <c r="G45" s="114">
        <v>3500</v>
      </c>
      <c r="H45" s="114"/>
      <c r="I45" s="113">
        <f t="shared" si="1"/>
        <v>3500</v>
      </c>
      <c r="J45" s="114"/>
      <c r="K45" s="114">
        <f t="shared" si="4"/>
        <v>0</v>
      </c>
      <c r="L45" s="114"/>
      <c r="M45" s="111"/>
    </row>
    <row r="46" spans="1:13" s="115" customFormat="1" x14ac:dyDescent="0.3">
      <c r="A46" s="123" t="s">
        <v>113</v>
      </c>
      <c r="B46" s="123" t="s">
        <v>114</v>
      </c>
      <c r="C46" s="114">
        <v>1775</v>
      </c>
      <c r="D46" s="114"/>
      <c r="E46" s="114"/>
      <c r="F46" s="114">
        <v>5706</v>
      </c>
      <c r="G46" s="114"/>
      <c r="H46" s="114">
        <f>10000-F46</f>
        <v>4294</v>
      </c>
      <c r="I46" s="113">
        <f t="shared" si="1"/>
        <v>4294</v>
      </c>
      <c r="J46" s="114">
        <f t="shared" si="6"/>
        <v>321.46478873239437</v>
      </c>
      <c r="K46" s="114"/>
      <c r="L46" s="114">
        <f t="shared" si="5"/>
        <v>75.254118471784082</v>
      </c>
      <c r="M46" s="111"/>
    </row>
    <row r="47" spans="1:13" x14ac:dyDescent="0.3">
      <c r="A47" s="122" t="s">
        <v>115</v>
      </c>
      <c r="B47" s="112" t="s">
        <v>116</v>
      </c>
      <c r="C47" s="113">
        <f>SUM(C48:C52)</f>
        <v>1079</v>
      </c>
      <c r="D47" s="113">
        <f t="shared" ref="D47" si="12">SUM(D48:D51)</f>
        <v>8500</v>
      </c>
      <c r="E47" s="113">
        <f>SUM(E48:E51)</f>
        <v>8500</v>
      </c>
      <c r="F47" s="113">
        <f>SUM(F48:F51)</f>
        <v>0</v>
      </c>
      <c r="G47" s="113">
        <f>SUM(G48:G51)</f>
        <v>6500</v>
      </c>
      <c r="H47" s="113">
        <f>SUM(H48:H51)</f>
        <v>15000</v>
      </c>
      <c r="I47" s="113">
        <f>SUM(I48:I51)</f>
        <v>21500</v>
      </c>
      <c r="J47" s="113">
        <f t="shared" si="6"/>
        <v>0</v>
      </c>
      <c r="K47" s="113">
        <f t="shared" si="4"/>
        <v>0</v>
      </c>
      <c r="L47" s="113"/>
      <c r="M47" s="111"/>
    </row>
    <row r="48" spans="1:13" x14ac:dyDescent="0.3">
      <c r="A48" s="125" t="s">
        <v>117</v>
      </c>
      <c r="B48" s="123" t="s">
        <v>118</v>
      </c>
      <c r="C48" s="114"/>
      <c r="D48" s="114">
        <v>5000</v>
      </c>
      <c r="E48" s="114">
        <v>5000</v>
      </c>
      <c r="F48" s="114"/>
      <c r="G48" s="114">
        <v>3000</v>
      </c>
      <c r="H48" s="114"/>
      <c r="I48" s="114">
        <f t="shared" si="1"/>
        <v>3000</v>
      </c>
      <c r="J48" s="114"/>
      <c r="K48" s="114">
        <f t="shared" si="4"/>
        <v>0</v>
      </c>
      <c r="L48" s="113"/>
      <c r="M48" s="111"/>
    </row>
    <row r="49" spans="1:13" x14ac:dyDescent="0.3">
      <c r="A49" s="125" t="s">
        <v>119</v>
      </c>
      <c r="B49" s="123" t="s">
        <v>120</v>
      </c>
      <c r="C49" s="114"/>
      <c r="D49" s="114">
        <v>500</v>
      </c>
      <c r="E49" s="114">
        <v>500</v>
      </c>
      <c r="F49" s="114"/>
      <c r="G49" s="114">
        <v>500</v>
      </c>
      <c r="H49" s="114"/>
      <c r="I49" s="114">
        <f t="shared" si="1"/>
        <v>500</v>
      </c>
      <c r="J49" s="114"/>
      <c r="K49" s="114">
        <f t="shared" si="4"/>
        <v>0</v>
      </c>
      <c r="L49" s="113"/>
      <c r="M49" s="111"/>
    </row>
    <row r="50" spans="1:13" x14ac:dyDescent="0.3">
      <c r="A50" s="125" t="s">
        <v>121</v>
      </c>
      <c r="B50" s="123" t="s">
        <v>122</v>
      </c>
      <c r="C50" s="114"/>
      <c r="D50" s="114">
        <v>3000</v>
      </c>
      <c r="E50" s="114">
        <v>3000</v>
      </c>
      <c r="F50" s="114"/>
      <c r="G50" s="114">
        <v>3000</v>
      </c>
      <c r="H50" s="114"/>
      <c r="I50" s="114">
        <f t="shared" si="1"/>
        <v>3000</v>
      </c>
      <c r="J50" s="114"/>
      <c r="K50" s="114">
        <f t="shared" si="4"/>
        <v>0</v>
      </c>
      <c r="L50" s="113"/>
      <c r="M50" s="111"/>
    </row>
    <row r="51" spans="1:13" x14ac:dyDescent="0.3">
      <c r="A51" s="125" t="s">
        <v>261</v>
      </c>
      <c r="B51" s="123" t="s">
        <v>276</v>
      </c>
      <c r="C51" s="114"/>
      <c r="D51" s="114">
        <v>0</v>
      </c>
      <c r="E51" s="114">
        <v>0</v>
      </c>
      <c r="F51" s="114"/>
      <c r="G51" s="114"/>
      <c r="H51" s="114">
        <v>15000</v>
      </c>
      <c r="I51" s="114">
        <f t="shared" si="1"/>
        <v>15000</v>
      </c>
      <c r="J51" s="114"/>
      <c r="K51" s="114"/>
      <c r="L51" s="113"/>
      <c r="M51" s="111"/>
    </row>
    <row r="52" spans="1:13" x14ac:dyDescent="0.3">
      <c r="A52" s="125" t="s">
        <v>299</v>
      </c>
      <c r="B52" s="123" t="s">
        <v>298</v>
      </c>
      <c r="C52" s="114">
        <v>1079</v>
      </c>
      <c r="D52" s="114"/>
      <c r="E52" s="114"/>
      <c r="F52" s="114"/>
      <c r="G52" s="114"/>
      <c r="H52" s="114"/>
      <c r="I52" s="114"/>
      <c r="J52" s="114">
        <f t="shared" si="6"/>
        <v>0</v>
      </c>
      <c r="K52" s="114"/>
      <c r="L52" s="113"/>
      <c r="M52" s="111"/>
    </row>
    <row r="53" spans="1:13" x14ac:dyDescent="0.3">
      <c r="A53" s="122" t="s">
        <v>123</v>
      </c>
      <c r="B53" s="112" t="s">
        <v>124</v>
      </c>
      <c r="C53" s="113">
        <f>+C55+C57+C54+C56</f>
        <v>9183</v>
      </c>
      <c r="D53" s="113">
        <f t="shared" ref="D53" si="13">+D55+D57+D54+D56</f>
        <v>31887</v>
      </c>
      <c r="E53" s="113">
        <f>+E55+E57+E54+E56</f>
        <v>29887</v>
      </c>
      <c r="F53" s="113">
        <f>+F55+F57+F54+F56</f>
        <v>11324</v>
      </c>
      <c r="G53" s="113">
        <f>+G55+G57+G54+G56</f>
        <v>8495</v>
      </c>
      <c r="H53" s="113">
        <f>+H55+H57+H54+H56</f>
        <v>7676</v>
      </c>
      <c r="I53" s="113">
        <f>+G53+H53</f>
        <v>16171</v>
      </c>
      <c r="J53" s="113">
        <f t="shared" si="6"/>
        <v>123.31482086464118</v>
      </c>
      <c r="K53" s="113">
        <f t="shared" si="4"/>
        <v>37.889383343928799</v>
      </c>
      <c r="L53" s="113">
        <f t="shared" si="5"/>
        <v>142.80289650300247</v>
      </c>
      <c r="M53" s="111"/>
    </row>
    <row r="54" spans="1:13" s="115" customFormat="1" x14ac:dyDescent="0.3">
      <c r="A54" s="123" t="s">
        <v>125</v>
      </c>
      <c r="B54" s="123" t="s">
        <v>126</v>
      </c>
      <c r="C54" s="114"/>
      <c r="D54" s="114">
        <v>2000</v>
      </c>
      <c r="E54" s="114">
        <v>1000</v>
      </c>
      <c r="F54" s="114"/>
      <c r="G54" s="114">
        <v>1000</v>
      </c>
      <c r="H54" s="114">
        <v>4000</v>
      </c>
      <c r="I54" s="114">
        <f t="shared" si="1"/>
        <v>5000</v>
      </c>
      <c r="J54" s="114"/>
      <c r="K54" s="114">
        <f t="shared" si="4"/>
        <v>0</v>
      </c>
      <c r="L54" s="114"/>
      <c r="M54" s="111"/>
    </row>
    <row r="55" spans="1:13" s="115" customFormat="1" x14ac:dyDescent="0.3">
      <c r="A55" s="123" t="s">
        <v>127</v>
      </c>
      <c r="B55" s="123" t="s">
        <v>128</v>
      </c>
      <c r="C55" s="114">
        <v>5953</v>
      </c>
      <c r="D55" s="114">
        <v>21392</v>
      </c>
      <c r="E55" s="114">
        <v>21392</v>
      </c>
      <c r="F55" s="114">
        <v>11324</v>
      </c>
      <c r="G55" s="114"/>
      <c r="H55" s="114">
        <f>15000-F55</f>
        <v>3676</v>
      </c>
      <c r="I55" s="114">
        <f>+G55+H55</f>
        <v>3676</v>
      </c>
      <c r="J55" s="114">
        <f t="shared" si="6"/>
        <v>190.22341676465649</v>
      </c>
      <c r="K55" s="114">
        <f t="shared" si="4"/>
        <v>52.935676888556472</v>
      </c>
      <c r="L55" s="114">
        <f t="shared" si="5"/>
        <v>32.462027552101731</v>
      </c>
      <c r="M55" s="111"/>
    </row>
    <row r="56" spans="1:13" s="115" customFormat="1" x14ac:dyDescent="0.3">
      <c r="A56" s="123" t="s">
        <v>129</v>
      </c>
      <c r="B56" s="123" t="s">
        <v>130</v>
      </c>
      <c r="C56" s="114"/>
      <c r="D56" s="114">
        <v>6000</v>
      </c>
      <c r="E56" s="114">
        <v>5000</v>
      </c>
      <c r="F56" s="114"/>
      <c r="G56" s="114">
        <v>5000</v>
      </c>
      <c r="H56" s="114"/>
      <c r="I56" s="114">
        <f>+G56+H56</f>
        <v>5000</v>
      </c>
      <c r="J56" s="114"/>
      <c r="K56" s="114">
        <f t="shared" si="4"/>
        <v>0</v>
      </c>
      <c r="L56" s="114"/>
      <c r="M56" s="111"/>
    </row>
    <row r="57" spans="1:13" s="115" customFormat="1" x14ac:dyDescent="0.3">
      <c r="A57" s="123" t="s">
        <v>131</v>
      </c>
      <c r="B57" s="123" t="s">
        <v>132</v>
      </c>
      <c r="C57" s="114">
        <v>3230</v>
      </c>
      <c r="D57" s="114">
        <v>2495</v>
      </c>
      <c r="E57" s="114">
        <v>2495</v>
      </c>
      <c r="F57" s="114"/>
      <c r="G57" s="114">
        <v>2495</v>
      </c>
      <c r="H57" s="114"/>
      <c r="I57" s="114">
        <f>+G57+H57</f>
        <v>2495</v>
      </c>
      <c r="J57" s="114">
        <f t="shared" si="6"/>
        <v>0</v>
      </c>
      <c r="K57" s="114">
        <f t="shared" si="4"/>
        <v>0</v>
      </c>
      <c r="L57" s="114"/>
      <c r="M57" s="111"/>
    </row>
    <row r="58" spans="1:13" x14ac:dyDescent="0.3">
      <c r="A58" s="122" t="s">
        <v>133</v>
      </c>
      <c r="B58" s="112" t="s">
        <v>134</v>
      </c>
      <c r="C58" s="113">
        <v>8320</v>
      </c>
      <c r="D58" s="113">
        <v>1500</v>
      </c>
      <c r="E58" s="113">
        <v>1500</v>
      </c>
      <c r="F58" s="113"/>
      <c r="G58" s="113">
        <v>1500</v>
      </c>
      <c r="H58" s="113"/>
      <c r="I58" s="113">
        <f t="shared" si="1"/>
        <v>1500</v>
      </c>
      <c r="J58" s="113">
        <f t="shared" si="6"/>
        <v>0</v>
      </c>
      <c r="K58" s="113">
        <f t="shared" si="4"/>
        <v>0</v>
      </c>
      <c r="L58" s="113"/>
      <c r="M58" s="111"/>
    </row>
    <row r="59" spans="1:13" x14ac:dyDescent="0.3">
      <c r="A59" s="122" t="s">
        <v>135</v>
      </c>
      <c r="B59" s="112" t="s">
        <v>136</v>
      </c>
      <c r="C59" s="113">
        <f>SUM(C60:C69)</f>
        <v>239547</v>
      </c>
      <c r="D59" s="113">
        <f>SUM(D60:D69)</f>
        <v>401135</v>
      </c>
      <c r="E59" s="113">
        <f>SUM(E60:E69)</f>
        <v>364635</v>
      </c>
      <c r="F59" s="113">
        <f>F60+F61+F62+F63+F64+F65+F66+F67+F68+F69</f>
        <v>147801</v>
      </c>
      <c r="G59" s="113">
        <f>G60+G61+G62+G63+G64+G65+G66+G67+G68+G69</f>
        <v>195834</v>
      </c>
      <c r="H59" s="113">
        <f>H60+H61+H62+H63+H64+H66+H67+H68+H69</f>
        <v>14060</v>
      </c>
      <c r="I59" s="113">
        <f>+G59+H59</f>
        <v>209894</v>
      </c>
      <c r="J59" s="113">
        <f t="shared" si="6"/>
        <v>61.700209144760734</v>
      </c>
      <c r="K59" s="113">
        <f t="shared" si="4"/>
        <v>40.533958616150393</v>
      </c>
      <c r="L59" s="113">
        <f t="shared" si="5"/>
        <v>142.01121778607722</v>
      </c>
      <c r="M59" s="111"/>
    </row>
    <row r="60" spans="1:13" s="115" customFormat="1" x14ac:dyDescent="0.3">
      <c r="A60" s="126" t="s">
        <v>250</v>
      </c>
      <c r="B60" s="123" t="s">
        <v>137</v>
      </c>
      <c r="C60" s="114"/>
      <c r="D60" s="114">
        <v>25000</v>
      </c>
      <c r="E60" s="114">
        <v>15000</v>
      </c>
      <c r="F60" s="114"/>
      <c r="G60" s="114">
        <v>15000</v>
      </c>
      <c r="H60" s="114"/>
      <c r="I60" s="114">
        <f>+G60+H60</f>
        <v>15000</v>
      </c>
      <c r="J60" s="114"/>
      <c r="K60" s="114">
        <f t="shared" si="4"/>
        <v>0</v>
      </c>
      <c r="L60" s="114"/>
      <c r="M60" s="111"/>
    </row>
    <row r="61" spans="1:13" s="115" customFormat="1" x14ac:dyDescent="0.3">
      <c r="A61" s="126" t="s">
        <v>138</v>
      </c>
      <c r="B61" s="123" t="s">
        <v>262</v>
      </c>
      <c r="C61" s="114">
        <v>9016</v>
      </c>
      <c r="D61" s="114">
        <v>5000</v>
      </c>
      <c r="E61" s="114">
        <v>5000</v>
      </c>
      <c r="F61" s="114"/>
      <c r="G61" s="114">
        <v>5000</v>
      </c>
      <c r="H61" s="114"/>
      <c r="I61" s="114">
        <f>+G61+H61</f>
        <v>5000</v>
      </c>
      <c r="J61" s="114">
        <f t="shared" si="6"/>
        <v>0</v>
      </c>
      <c r="K61" s="114">
        <f t="shared" si="4"/>
        <v>0</v>
      </c>
      <c r="L61" s="114"/>
      <c r="M61" s="111"/>
    </row>
    <row r="62" spans="1:13" s="115" customFormat="1" x14ac:dyDescent="0.3">
      <c r="A62" s="126" t="s">
        <v>139</v>
      </c>
      <c r="B62" s="123" t="s">
        <v>140</v>
      </c>
      <c r="C62" s="114"/>
      <c r="D62" s="114">
        <v>30000</v>
      </c>
      <c r="E62" s="114">
        <v>30000</v>
      </c>
      <c r="F62" s="114"/>
      <c r="G62" s="114">
        <v>30000</v>
      </c>
      <c r="H62" s="114"/>
      <c r="I62" s="114">
        <f>+G62+H62</f>
        <v>30000</v>
      </c>
      <c r="J62" s="114"/>
      <c r="K62" s="114">
        <f t="shared" si="4"/>
        <v>0</v>
      </c>
      <c r="L62" s="114"/>
      <c r="M62" s="111"/>
    </row>
    <row r="63" spans="1:13" s="115" customFormat="1" x14ac:dyDescent="0.3">
      <c r="A63" s="126" t="s">
        <v>141</v>
      </c>
      <c r="B63" s="123" t="s">
        <v>142</v>
      </c>
      <c r="C63" s="114">
        <v>191922</v>
      </c>
      <c r="D63" s="114">
        <v>212840</v>
      </c>
      <c r="E63" s="114">
        <v>197840</v>
      </c>
      <c r="F63" s="114">
        <f>67000+39100</f>
        <v>106100</v>
      </c>
      <c r="G63" s="114">
        <f>E63-F63</f>
        <v>91740</v>
      </c>
      <c r="H63" s="114"/>
      <c r="I63" s="114">
        <f>+G63+H63</f>
        <v>91740</v>
      </c>
      <c r="J63" s="114">
        <f t="shared" si="6"/>
        <v>55.282875334771418</v>
      </c>
      <c r="K63" s="114">
        <f t="shared" si="4"/>
        <v>53.629195309340879</v>
      </c>
      <c r="L63" s="114">
        <f t="shared" si="5"/>
        <v>86.465598491988686</v>
      </c>
      <c r="M63" s="111"/>
    </row>
    <row r="64" spans="1:13" s="115" customFormat="1" x14ac:dyDescent="0.3">
      <c r="A64" s="126" t="s">
        <v>143</v>
      </c>
      <c r="B64" s="123" t="s">
        <v>282</v>
      </c>
      <c r="C64" s="114">
        <v>1562</v>
      </c>
      <c r="D64" s="114">
        <v>20000</v>
      </c>
      <c r="E64" s="114">
        <v>20000</v>
      </c>
      <c r="F64" s="114">
        <v>12961</v>
      </c>
      <c r="G64" s="114">
        <f>E64-F64</f>
        <v>7039</v>
      </c>
      <c r="H64" s="114">
        <v>5000</v>
      </c>
      <c r="I64" s="114">
        <f t="shared" si="1"/>
        <v>12039</v>
      </c>
      <c r="J64" s="114">
        <f t="shared" si="6"/>
        <v>829.76952624839942</v>
      </c>
      <c r="K64" s="114">
        <f t="shared" si="4"/>
        <v>64.805000000000007</v>
      </c>
      <c r="L64" s="114">
        <f t="shared" si="5"/>
        <v>92.886351361777642</v>
      </c>
      <c r="M64" s="111"/>
    </row>
    <row r="65" spans="1:13" s="115" customFormat="1" x14ac:dyDescent="0.3">
      <c r="A65" s="126" t="s">
        <v>144</v>
      </c>
      <c r="B65" s="123" t="s">
        <v>145</v>
      </c>
      <c r="C65" s="114">
        <v>31435</v>
      </c>
      <c r="D65" s="114">
        <v>54295</v>
      </c>
      <c r="E65" s="114">
        <v>54295</v>
      </c>
      <c r="F65" s="114">
        <v>16000</v>
      </c>
      <c r="G65" s="114">
        <f>54295-F65</f>
        <v>38295</v>
      </c>
      <c r="H65" s="114"/>
      <c r="I65" s="114">
        <f t="shared" si="1"/>
        <v>38295</v>
      </c>
      <c r="J65" s="114">
        <f t="shared" si="6"/>
        <v>50.898679815492287</v>
      </c>
      <c r="K65" s="114">
        <f t="shared" si="4"/>
        <v>29.468643521502901</v>
      </c>
      <c r="L65" s="114">
        <f t="shared" si="5"/>
        <v>239.34375</v>
      </c>
      <c r="M65" s="111"/>
    </row>
    <row r="66" spans="1:13" s="156" customFormat="1" x14ac:dyDescent="0.3">
      <c r="A66" s="126" t="s">
        <v>146</v>
      </c>
      <c r="B66" s="123" t="s">
        <v>147</v>
      </c>
      <c r="C66" s="114">
        <v>5612</v>
      </c>
      <c r="D66" s="114">
        <v>20000</v>
      </c>
      <c r="E66" s="114">
        <v>20000</v>
      </c>
      <c r="F66" s="114">
        <v>4740</v>
      </c>
      <c r="G66" s="114">
        <v>5260</v>
      </c>
      <c r="H66" s="114"/>
      <c r="I66" s="114">
        <f>+G66+H66</f>
        <v>5260</v>
      </c>
      <c r="J66" s="114">
        <f t="shared" si="6"/>
        <v>84.461867426942277</v>
      </c>
      <c r="K66" s="114">
        <f t="shared" si="4"/>
        <v>23.7</v>
      </c>
      <c r="L66" s="114">
        <f t="shared" si="5"/>
        <v>110.9704641350211</v>
      </c>
      <c r="M66" s="155"/>
    </row>
    <row r="67" spans="1:13" s="115" customFormat="1" x14ac:dyDescent="0.3">
      <c r="A67" s="126" t="s">
        <v>148</v>
      </c>
      <c r="B67" s="123" t="s">
        <v>149</v>
      </c>
      <c r="C67" s="114"/>
      <c r="D67" s="114">
        <v>7000</v>
      </c>
      <c r="E67" s="114">
        <v>7000</v>
      </c>
      <c r="F67" s="114">
        <v>8000</v>
      </c>
      <c r="G67" s="114"/>
      <c r="H67" s="114">
        <v>9060</v>
      </c>
      <c r="I67" s="114">
        <f t="shared" si="1"/>
        <v>9060</v>
      </c>
      <c r="J67" s="114"/>
      <c r="K67" s="114">
        <f t="shared" si="4"/>
        <v>114.28571428571428</v>
      </c>
      <c r="L67" s="114">
        <f t="shared" si="5"/>
        <v>113.25</v>
      </c>
      <c r="M67" s="111"/>
    </row>
    <row r="68" spans="1:13" s="156" customFormat="1" x14ac:dyDescent="0.3">
      <c r="A68" s="126" t="s">
        <v>150</v>
      </c>
      <c r="B68" s="123" t="s">
        <v>151</v>
      </c>
      <c r="C68" s="114"/>
      <c r="D68" s="114">
        <v>20000</v>
      </c>
      <c r="E68" s="114">
        <v>12000</v>
      </c>
      <c r="F68" s="114"/>
      <c r="G68" s="114"/>
      <c r="H68" s="114"/>
      <c r="I68" s="114">
        <f t="shared" si="1"/>
        <v>0</v>
      </c>
      <c r="J68" s="114"/>
      <c r="K68" s="114">
        <f t="shared" si="4"/>
        <v>0</v>
      </c>
      <c r="L68" s="114"/>
      <c r="M68" s="111"/>
    </row>
    <row r="69" spans="1:13" s="156" customFormat="1" x14ac:dyDescent="0.3">
      <c r="A69" s="126" t="s">
        <v>152</v>
      </c>
      <c r="B69" s="123" t="s">
        <v>153</v>
      </c>
      <c r="C69" s="114"/>
      <c r="D69" s="114">
        <v>7000</v>
      </c>
      <c r="E69" s="114">
        <v>3500</v>
      </c>
      <c r="F69" s="114"/>
      <c r="G69" s="114">
        <v>3500</v>
      </c>
      <c r="H69" s="114"/>
      <c r="I69" s="114">
        <f>+G69+H69</f>
        <v>3500</v>
      </c>
      <c r="J69" s="114"/>
      <c r="K69" s="114">
        <f t="shared" si="4"/>
        <v>0</v>
      </c>
      <c r="L69" s="114"/>
      <c r="M69" s="111"/>
    </row>
    <row r="70" spans="1:13" x14ac:dyDescent="0.3">
      <c r="A70" s="127" t="s">
        <v>154</v>
      </c>
      <c r="B70" s="128" t="s">
        <v>155</v>
      </c>
      <c r="C70" s="129">
        <f>SUM(C71:C86)</f>
        <v>28723</v>
      </c>
      <c r="D70" s="129">
        <f t="shared" ref="D70" si="14">SUM(D71:D84)</f>
        <v>49958</v>
      </c>
      <c r="E70" s="129">
        <f>SUM(E71:E86)</f>
        <v>77033</v>
      </c>
      <c r="F70" s="130">
        <f>SUM(F71:F86)</f>
        <v>29409</v>
      </c>
      <c r="G70" s="129">
        <f>SUM(G71:G86)</f>
        <v>58342</v>
      </c>
      <c r="H70" s="129">
        <f>SUM(H71:H86)</f>
        <v>9125</v>
      </c>
      <c r="I70" s="129">
        <f>+G70+H70</f>
        <v>67467</v>
      </c>
      <c r="J70" s="129">
        <f t="shared" si="6"/>
        <v>102.38832990982836</v>
      </c>
      <c r="K70" s="129">
        <f t="shared" si="4"/>
        <v>38.177144859995067</v>
      </c>
      <c r="L70" s="129">
        <f t="shared" si="5"/>
        <v>229.40936448026116</v>
      </c>
      <c r="M70" s="111"/>
    </row>
    <row r="71" spans="1:13" x14ac:dyDescent="0.3">
      <c r="A71" s="131" t="s">
        <v>156</v>
      </c>
      <c r="B71" s="112" t="s">
        <v>157</v>
      </c>
      <c r="C71" s="113"/>
      <c r="D71" s="113">
        <v>1000</v>
      </c>
      <c r="E71" s="113">
        <v>1000</v>
      </c>
      <c r="F71" s="113"/>
      <c r="G71" s="113">
        <v>1000</v>
      </c>
      <c r="H71" s="113"/>
      <c r="I71" s="113">
        <f t="shared" ref="I71:I102" si="15">+G71+H71</f>
        <v>1000</v>
      </c>
      <c r="J71" s="113"/>
      <c r="K71" s="113">
        <f t="shared" si="4"/>
        <v>0</v>
      </c>
      <c r="L71" s="113"/>
      <c r="M71" s="111"/>
    </row>
    <row r="72" spans="1:13" x14ac:dyDescent="0.3">
      <c r="A72" s="131" t="s">
        <v>158</v>
      </c>
      <c r="B72" s="112" t="s">
        <v>159</v>
      </c>
      <c r="C72" s="113">
        <v>567</v>
      </c>
      <c r="D72" s="113">
        <v>433</v>
      </c>
      <c r="E72" s="113">
        <v>433</v>
      </c>
      <c r="F72" s="113">
        <v>3000</v>
      </c>
      <c r="G72" s="113"/>
      <c r="H72" s="113">
        <v>500</v>
      </c>
      <c r="I72" s="113">
        <f t="shared" si="15"/>
        <v>500</v>
      </c>
      <c r="J72" s="113">
        <f t="shared" si="6"/>
        <v>529.10052910052912</v>
      </c>
      <c r="K72" s="113">
        <f t="shared" si="4"/>
        <v>692.84064665127016</v>
      </c>
      <c r="L72" s="113">
        <f t="shared" si="5"/>
        <v>16.666666666666664</v>
      </c>
      <c r="M72" s="111"/>
    </row>
    <row r="73" spans="1:13" ht="15" customHeight="1" x14ac:dyDescent="0.3">
      <c r="A73" s="131" t="s">
        <v>160</v>
      </c>
      <c r="B73" s="112" t="s">
        <v>161</v>
      </c>
      <c r="C73" s="113"/>
      <c r="D73" s="113">
        <v>10125</v>
      </c>
      <c r="E73" s="113">
        <v>9000</v>
      </c>
      <c r="F73" s="113"/>
      <c r="G73" s="113">
        <v>9000</v>
      </c>
      <c r="H73" s="113">
        <v>1125</v>
      </c>
      <c r="I73" s="113">
        <f t="shared" si="15"/>
        <v>10125</v>
      </c>
      <c r="J73" s="113"/>
      <c r="K73" s="113">
        <f t="shared" si="4"/>
        <v>0</v>
      </c>
      <c r="L73" s="113"/>
      <c r="M73" s="111"/>
    </row>
    <row r="74" spans="1:13" ht="27" customHeight="1" x14ac:dyDescent="0.3">
      <c r="A74" s="131" t="s">
        <v>162</v>
      </c>
      <c r="B74" s="132" t="s">
        <v>163</v>
      </c>
      <c r="C74" s="113"/>
      <c r="D74" s="109">
        <v>2000</v>
      </c>
      <c r="E74" s="109">
        <v>2000</v>
      </c>
      <c r="F74" s="109"/>
      <c r="G74" s="109">
        <v>2000</v>
      </c>
      <c r="H74" s="109"/>
      <c r="I74" s="109">
        <f t="shared" si="15"/>
        <v>2000</v>
      </c>
      <c r="J74" s="109"/>
      <c r="K74" s="109">
        <f t="shared" ref="K74:K111" si="16">+F74/E74*100</f>
        <v>0</v>
      </c>
      <c r="L74" s="109"/>
      <c r="M74" s="111"/>
    </row>
    <row r="75" spans="1:13" x14ac:dyDescent="0.3">
      <c r="A75" s="131" t="s">
        <v>164</v>
      </c>
      <c r="B75" s="112" t="s">
        <v>165</v>
      </c>
      <c r="C75" s="117"/>
      <c r="D75" s="117">
        <v>8000</v>
      </c>
      <c r="E75" s="113">
        <v>7000</v>
      </c>
      <c r="F75" s="113"/>
      <c r="G75" s="113">
        <v>7000</v>
      </c>
      <c r="H75" s="113">
        <v>1000</v>
      </c>
      <c r="I75" s="113">
        <f t="shared" si="15"/>
        <v>8000</v>
      </c>
      <c r="J75" s="113"/>
      <c r="K75" s="113">
        <f t="shared" si="16"/>
        <v>0</v>
      </c>
      <c r="L75" s="113"/>
      <c r="M75" s="111"/>
    </row>
    <row r="76" spans="1:13" x14ac:dyDescent="0.3">
      <c r="A76" s="131" t="s">
        <v>166</v>
      </c>
      <c r="B76" s="112" t="s">
        <v>167</v>
      </c>
      <c r="C76" s="113">
        <v>5908</v>
      </c>
      <c r="D76" s="113">
        <v>500</v>
      </c>
      <c r="E76" s="113">
        <v>1600</v>
      </c>
      <c r="F76" s="113">
        <v>1560</v>
      </c>
      <c r="G76" s="113"/>
      <c r="H76" s="113">
        <v>3000</v>
      </c>
      <c r="I76" s="113">
        <f t="shared" si="15"/>
        <v>3000</v>
      </c>
      <c r="J76" s="113">
        <f t="shared" ref="J76:J111" si="17">+F76/C76*100</f>
        <v>26.404874746106969</v>
      </c>
      <c r="K76" s="113">
        <f t="shared" si="16"/>
        <v>97.5</v>
      </c>
      <c r="L76" s="113">
        <f t="shared" ref="L76:L111" si="18">I76/F76*100</f>
        <v>192.30769230769232</v>
      </c>
      <c r="M76" s="111"/>
    </row>
    <row r="77" spans="1:13" x14ac:dyDescent="0.3">
      <c r="A77" s="112" t="s">
        <v>168</v>
      </c>
      <c r="B77" s="112" t="s">
        <v>169</v>
      </c>
      <c r="C77" s="113"/>
      <c r="D77" s="113">
        <v>4500</v>
      </c>
      <c r="E77" s="113">
        <v>4500</v>
      </c>
      <c r="F77" s="113"/>
      <c r="G77" s="113">
        <v>4500</v>
      </c>
      <c r="H77" s="113"/>
      <c r="I77" s="113">
        <f t="shared" si="15"/>
        <v>4500</v>
      </c>
      <c r="J77" s="113"/>
      <c r="K77" s="113">
        <f t="shared" si="16"/>
        <v>0</v>
      </c>
      <c r="L77" s="113"/>
      <c r="M77" s="111"/>
    </row>
    <row r="78" spans="1:13" x14ac:dyDescent="0.3">
      <c r="A78" s="112" t="s">
        <v>170</v>
      </c>
      <c r="B78" s="112" t="s">
        <v>171</v>
      </c>
      <c r="C78" s="113"/>
      <c r="D78" s="113">
        <v>9400</v>
      </c>
      <c r="E78" s="113">
        <v>6000</v>
      </c>
      <c r="F78" s="113"/>
      <c r="G78" s="113">
        <v>6000</v>
      </c>
      <c r="H78" s="113"/>
      <c r="I78" s="113">
        <f t="shared" si="15"/>
        <v>6000</v>
      </c>
      <c r="J78" s="113"/>
      <c r="K78" s="113">
        <f t="shared" si="16"/>
        <v>0</v>
      </c>
      <c r="L78" s="113"/>
      <c r="M78" s="111"/>
    </row>
    <row r="79" spans="1:13" x14ac:dyDescent="0.3">
      <c r="A79" s="112" t="s">
        <v>172</v>
      </c>
      <c r="B79" s="112" t="s">
        <v>173</v>
      </c>
      <c r="C79" s="113"/>
      <c r="D79" s="113">
        <v>4000</v>
      </c>
      <c r="E79" s="113">
        <v>500</v>
      </c>
      <c r="F79" s="113"/>
      <c r="G79" s="113">
        <v>500</v>
      </c>
      <c r="H79" s="113">
        <v>3500</v>
      </c>
      <c r="I79" s="113">
        <f t="shared" si="15"/>
        <v>4000</v>
      </c>
      <c r="J79" s="113"/>
      <c r="K79" s="113">
        <f t="shared" si="16"/>
        <v>0</v>
      </c>
      <c r="L79" s="113"/>
      <c r="M79" s="111"/>
    </row>
    <row r="80" spans="1:13" x14ac:dyDescent="0.3">
      <c r="A80" s="112" t="s">
        <v>174</v>
      </c>
      <c r="B80" s="112" t="s">
        <v>175</v>
      </c>
      <c r="C80" s="113">
        <v>5230</v>
      </c>
      <c r="D80" s="113">
        <v>10000</v>
      </c>
      <c r="E80" s="113">
        <v>20000</v>
      </c>
      <c r="F80" s="113">
        <f>5850+1768</f>
        <v>7618</v>
      </c>
      <c r="G80" s="113">
        <f>10000-F80</f>
        <v>2382</v>
      </c>
      <c r="H80" s="113"/>
      <c r="I80" s="113">
        <f t="shared" si="15"/>
        <v>2382</v>
      </c>
      <c r="J80" s="113">
        <f t="shared" si="17"/>
        <v>145.65965583173997</v>
      </c>
      <c r="K80" s="113">
        <f t="shared" si="16"/>
        <v>38.090000000000003</v>
      </c>
      <c r="L80" s="113">
        <f t="shared" si="18"/>
        <v>31.268049356786559</v>
      </c>
      <c r="M80" s="111"/>
    </row>
    <row r="81" spans="1:13" x14ac:dyDescent="0.3">
      <c r="A81" s="118" t="s">
        <v>176</v>
      </c>
      <c r="B81" s="112" t="s">
        <v>177</v>
      </c>
      <c r="C81" s="113"/>
      <c r="D81" s="113"/>
      <c r="E81" s="113">
        <v>10000</v>
      </c>
      <c r="F81" s="113"/>
      <c r="G81" s="113">
        <v>10000</v>
      </c>
      <c r="H81" s="113"/>
      <c r="I81" s="113">
        <f t="shared" si="15"/>
        <v>10000</v>
      </c>
      <c r="J81" s="113"/>
      <c r="K81" s="113">
        <f t="shared" si="16"/>
        <v>0</v>
      </c>
      <c r="L81" s="113"/>
      <c r="M81" s="111"/>
    </row>
    <row r="82" spans="1:13" x14ac:dyDescent="0.3">
      <c r="A82" s="118" t="s">
        <v>178</v>
      </c>
      <c r="B82" s="112" t="s">
        <v>286</v>
      </c>
      <c r="C82" s="113"/>
      <c r="D82" s="113"/>
      <c r="E82" s="113"/>
      <c r="F82" s="113">
        <v>5040</v>
      </c>
      <c r="G82" s="113">
        <v>10960</v>
      </c>
      <c r="H82" s="113"/>
      <c r="I82" s="113">
        <f t="shared" si="15"/>
        <v>10960</v>
      </c>
      <c r="J82" s="113"/>
      <c r="K82" s="113"/>
      <c r="L82" s="113">
        <f t="shared" ref="L82" si="19">I82/F82*100</f>
        <v>217.46031746031744</v>
      </c>
      <c r="M82" s="111"/>
    </row>
    <row r="83" spans="1:13" x14ac:dyDescent="0.3">
      <c r="A83" s="118" t="s">
        <v>294</v>
      </c>
      <c r="B83" s="157" t="s">
        <v>88</v>
      </c>
      <c r="C83" s="113"/>
      <c r="D83" s="113"/>
      <c r="E83" s="113"/>
      <c r="F83" s="113"/>
      <c r="G83" s="113">
        <v>5000</v>
      </c>
      <c r="H83" s="113"/>
      <c r="I83" s="113">
        <f t="shared" si="15"/>
        <v>5000</v>
      </c>
      <c r="J83" s="113"/>
      <c r="K83" s="113"/>
      <c r="L83" s="113"/>
      <c r="M83" s="111"/>
    </row>
    <row r="84" spans="1:13" x14ac:dyDescent="0.3">
      <c r="A84" s="118" t="s">
        <v>295</v>
      </c>
      <c r="B84" s="112" t="s">
        <v>179</v>
      </c>
      <c r="C84" s="113"/>
      <c r="D84" s="113"/>
      <c r="E84" s="113">
        <v>15000</v>
      </c>
      <c r="F84" s="113">
        <v>12191</v>
      </c>
      <c r="G84" s="113"/>
      <c r="H84" s="113"/>
      <c r="I84" s="113">
        <f t="shared" si="15"/>
        <v>0</v>
      </c>
      <c r="J84" s="113"/>
      <c r="K84" s="113">
        <f t="shared" si="16"/>
        <v>81.273333333333326</v>
      </c>
      <c r="L84" s="113">
        <f t="shared" si="18"/>
        <v>0</v>
      </c>
      <c r="M84" s="111"/>
    </row>
    <row r="85" spans="1:13" x14ac:dyDescent="0.3">
      <c r="A85" s="118" t="s">
        <v>323</v>
      </c>
      <c r="B85" s="112" t="s">
        <v>293</v>
      </c>
      <c r="C85" s="113">
        <v>7652</v>
      </c>
      <c r="D85" s="113"/>
      <c r="E85" s="113"/>
      <c r="F85" s="113"/>
      <c r="G85" s="113"/>
      <c r="H85" s="113"/>
      <c r="I85" s="113"/>
      <c r="J85" s="113">
        <f t="shared" si="17"/>
        <v>0</v>
      </c>
      <c r="K85" s="113"/>
      <c r="L85" s="113"/>
      <c r="M85" s="111"/>
    </row>
    <row r="86" spans="1:13" x14ac:dyDescent="0.3">
      <c r="A86" s="118" t="s">
        <v>324</v>
      </c>
      <c r="B86" s="112" t="s">
        <v>263</v>
      </c>
      <c r="C86" s="113">
        <v>9366</v>
      </c>
      <c r="D86" s="113"/>
      <c r="E86" s="113"/>
      <c r="F86" s="113"/>
      <c r="G86" s="113"/>
      <c r="H86" s="113"/>
      <c r="I86" s="113"/>
      <c r="J86" s="113">
        <f t="shared" si="17"/>
        <v>0</v>
      </c>
      <c r="K86" s="113"/>
      <c r="L86" s="113"/>
      <c r="M86" s="111"/>
    </row>
    <row r="87" spans="1:13" x14ac:dyDescent="0.3">
      <c r="A87" s="133" t="s">
        <v>180</v>
      </c>
      <c r="B87" s="128" t="s">
        <v>181</v>
      </c>
      <c r="C87" s="129">
        <f>C90+C88+C91</f>
        <v>74900</v>
      </c>
      <c r="D87" s="129">
        <f>D90+D88+D89</f>
        <v>186000</v>
      </c>
      <c r="E87" s="129">
        <f>E90+E88+E89</f>
        <v>186000</v>
      </c>
      <c r="F87" s="130">
        <f>F90+F88+F89</f>
        <v>58707</v>
      </c>
      <c r="G87" s="130">
        <f>G90+G88+G89</f>
        <v>92500</v>
      </c>
      <c r="H87" s="130">
        <f>H90+H88+H89</f>
        <v>0</v>
      </c>
      <c r="I87" s="129">
        <f>+G87+H87</f>
        <v>92500</v>
      </c>
      <c r="J87" s="129">
        <f t="shared" si="17"/>
        <v>78.380507343124165</v>
      </c>
      <c r="K87" s="129">
        <f t="shared" si="16"/>
        <v>31.562903225806448</v>
      </c>
      <c r="L87" s="129">
        <f t="shared" si="18"/>
        <v>157.56213058068033</v>
      </c>
      <c r="M87" s="111"/>
    </row>
    <row r="88" spans="1:13" x14ac:dyDescent="0.3">
      <c r="A88" s="112" t="s">
        <v>182</v>
      </c>
      <c r="B88" s="112" t="s">
        <v>183</v>
      </c>
      <c r="C88" s="113"/>
      <c r="D88" s="113">
        <v>80000</v>
      </c>
      <c r="E88" s="113">
        <v>80000</v>
      </c>
      <c r="F88" s="124"/>
      <c r="G88" s="113">
        <v>80000</v>
      </c>
      <c r="H88" s="113"/>
      <c r="I88" s="113">
        <f t="shared" si="15"/>
        <v>80000</v>
      </c>
      <c r="J88" s="113"/>
      <c r="K88" s="113">
        <f t="shared" si="16"/>
        <v>0</v>
      </c>
      <c r="L88" s="113"/>
      <c r="M88" s="111"/>
    </row>
    <row r="89" spans="1:13" x14ac:dyDescent="0.3">
      <c r="A89" s="112" t="s">
        <v>184</v>
      </c>
      <c r="B89" s="112" t="s">
        <v>185</v>
      </c>
      <c r="C89" s="113"/>
      <c r="D89" s="113">
        <v>70000</v>
      </c>
      <c r="E89" s="113">
        <v>70000</v>
      </c>
      <c r="F89" s="124">
        <v>35207</v>
      </c>
      <c r="G89" s="113"/>
      <c r="H89" s="113"/>
      <c r="I89" s="113">
        <f t="shared" si="15"/>
        <v>0</v>
      </c>
      <c r="J89" s="113"/>
      <c r="K89" s="113">
        <f t="shared" si="16"/>
        <v>50.29571428571429</v>
      </c>
      <c r="L89" s="113">
        <f t="shared" si="18"/>
        <v>0</v>
      </c>
      <c r="M89" s="111"/>
    </row>
    <row r="90" spans="1:13" x14ac:dyDescent="0.3">
      <c r="A90" s="112" t="s">
        <v>186</v>
      </c>
      <c r="B90" s="112" t="s">
        <v>187</v>
      </c>
      <c r="C90" s="113"/>
      <c r="D90" s="113">
        <v>36000</v>
      </c>
      <c r="E90" s="113">
        <v>36000</v>
      </c>
      <c r="F90" s="124">
        <v>23500</v>
      </c>
      <c r="G90" s="113">
        <f>E90-F90</f>
        <v>12500</v>
      </c>
      <c r="H90" s="113"/>
      <c r="I90" s="113">
        <f t="shared" si="15"/>
        <v>12500</v>
      </c>
      <c r="J90" s="113"/>
      <c r="K90" s="113">
        <f t="shared" si="16"/>
        <v>65.277777777777786</v>
      </c>
      <c r="L90" s="113">
        <f t="shared" si="18"/>
        <v>53.191489361702125</v>
      </c>
      <c r="M90" s="111"/>
    </row>
    <row r="91" spans="1:13" x14ac:dyDescent="0.3">
      <c r="A91" s="112" t="s">
        <v>297</v>
      </c>
      <c r="B91" s="134" t="s">
        <v>296</v>
      </c>
      <c r="C91" s="135">
        <v>74900</v>
      </c>
      <c r="D91" s="145"/>
      <c r="E91" s="135"/>
      <c r="F91" s="136"/>
      <c r="G91" s="135"/>
      <c r="H91" s="135"/>
      <c r="I91" s="135"/>
      <c r="J91" s="135">
        <f t="shared" si="17"/>
        <v>0</v>
      </c>
      <c r="K91" s="135"/>
      <c r="L91" s="135"/>
      <c r="M91" s="111"/>
    </row>
    <row r="92" spans="1:13" s="184" customFormat="1" ht="16.95" customHeight="1" x14ac:dyDescent="0.3">
      <c r="A92" s="185" t="s">
        <v>1</v>
      </c>
      <c r="B92" s="185" t="s">
        <v>188</v>
      </c>
      <c r="C92" s="186">
        <f>+SUM(C93:C110)</f>
        <v>62990</v>
      </c>
      <c r="D92" s="186">
        <f>+SUM(D93:D110)</f>
        <v>561388</v>
      </c>
      <c r="E92" s="186">
        <f>+SUM(E93:E110)</f>
        <v>389813</v>
      </c>
      <c r="F92" s="186">
        <f>+SUM(F93:F110)</f>
        <v>100461</v>
      </c>
      <c r="G92" s="186">
        <f>+SUM(G93:G110)</f>
        <v>207582</v>
      </c>
      <c r="H92" s="186">
        <f>H93+H94+H96+H97+H98+H95+H99+H100+H101+H102+H103</f>
        <v>0</v>
      </c>
      <c r="I92" s="186">
        <f t="shared" si="15"/>
        <v>207582</v>
      </c>
      <c r="J92" s="186">
        <f t="shared" si="17"/>
        <v>159.48722019368154</v>
      </c>
      <c r="K92" s="186">
        <f t="shared" si="16"/>
        <v>25.771587915231148</v>
      </c>
      <c r="L92" s="186">
        <f t="shared" si="18"/>
        <v>206.62943828948545</v>
      </c>
      <c r="M92" s="183"/>
    </row>
    <row r="93" spans="1:13" ht="55.2" customHeight="1" x14ac:dyDescent="0.3">
      <c r="A93" s="116" t="s">
        <v>189</v>
      </c>
      <c r="B93" s="132" t="s">
        <v>283</v>
      </c>
      <c r="C93" s="109">
        <v>4400</v>
      </c>
      <c r="D93" s="109">
        <v>71164</v>
      </c>
      <c r="E93" s="137">
        <v>71164</v>
      </c>
      <c r="F93" s="137">
        <f>2800+700+700+700+7804+530</f>
        <v>13234</v>
      </c>
      <c r="G93" s="138">
        <f>54460-F93</f>
        <v>41226</v>
      </c>
      <c r="H93" s="138"/>
      <c r="I93" s="139">
        <f>G93+H93</f>
        <v>41226</v>
      </c>
      <c r="J93" s="113">
        <f t="shared" si="17"/>
        <v>300.77272727272725</v>
      </c>
      <c r="K93" s="109">
        <f t="shared" si="16"/>
        <v>18.596481366983305</v>
      </c>
      <c r="L93" s="109">
        <f t="shared" si="18"/>
        <v>311.51579265528187</v>
      </c>
      <c r="M93" s="264"/>
    </row>
    <row r="94" spans="1:13" ht="27.75" customHeight="1" x14ac:dyDescent="0.3">
      <c r="A94" s="116" t="s">
        <v>190</v>
      </c>
      <c r="B94" s="140" t="s">
        <v>252</v>
      </c>
      <c r="C94" s="109">
        <v>9900</v>
      </c>
      <c r="D94" s="109">
        <v>4000</v>
      </c>
      <c r="E94" s="137">
        <v>4000</v>
      </c>
      <c r="F94" s="137">
        <v>4000</v>
      </c>
      <c r="G94" s="137"/>
      <c r="H94" s="109"/>
      <c r="I94" s="137">
        <f>G94+H94</f>
        <v>0</v>
      </c>
      <c r="J94" s="113">
        <f t="shared" si="17"/>
        <v>40.404040404040401</v>
      </c>
      <c r="K94" s="109">
        <f t="shared" si="16"/>
        <v>100</v>
      </c>
      <c r="L94" s="109">
        <f t="shared" si="18"/>
        <v>0</v>
      </c>
      <c r="M94" s="111"/>
    </row>
    <row r="95" spans="1:13" x14ac:dyDescent="0.3">
      <c r="A95" s="112" t="s">
        <v>191</v>
      </c>
      <c r="B95" s="112" t="s">
        <v>192</v>
      </c>
      <c r="C95" s="113"/>
      <c r="D95" s="113">
        <v>10000</v>
      </c>
      <c r="E95" s="113">
        <v>10000</v>
      </c>
      <c r="F95" s="124"/>
      <c r="G95" s="124">
        <v>10000</v>
      </c>
      <c r="H95" s="113"/>
      <c r="I95" s="124">
        <f t="shared" si="15"/>
        <v>10000</v>
      </c>
      <c r="J95" s="113"/>
      <c r="K95" s="113">
        <f t="shared" si="16"/>
        <v>0</v>
      </c>
      <c r="L95" s="113"/>
      <c r="M95" s="111"/>
    </row>
    <row r="96" spans="1:13" x14ac:dyDescent="0.3">
      <c r="A96" s="112" t="s">
        <v>193</v>
      </c>
      <c r="B96" s="112" t="s">
        <v>194</v>
      </c>
      <c r="C96" s="113"/>
      <c r="D96" s="113">
        <v>39836</v>
      </c>
      <c r="E96" s="113">
        <v>39836</v>
      </c>
      <c r="F96" s="124">
        <v>39836</v>
      </c>
      <c r="G96" s="124"/>
      <c r="H96" s="113"/>
      <c r="I96" s="124">
        <f t="shared" si="15"/>
        <v>0</v>
      </c>
      <c r="J96" s="113"/>
      <c r="K96" s="113">
        <f t="shared" si="16"/>
        <v>100</v>
      </c>
      <c r="L96" s="113">
        <f t="shared" si="18"/>
        <v>0</v>
      </c>
      <c r="M96" s="111"/>
    </row>
    <row r="97" spans="1:13" x14ac:dyDescent="0.3">
      <c r="A97" s="112" t="s">
        <v>195</v>
      </c>
      <c r="B97" s="112" t="s">
        <v>196</v>
      </c>
      <c r="C97" s="113"/>
      <c r="D97" s="113">
        <v>15312</v>
      </c>
      <c r="E97" s="113">
        <v>15312</v>
      </c>
      <c r="F97" s="124">
        <v>13697</v>
      </c>
      <c r="G97" s="124"/>
      <c r="H97" s="113"/>
      <c r="I97" s="124">
        <f t="shared" si="15"/>
        <v>0</v>
      </c>
      <c r="J97" s="113"/>
      <c r="K97" s="113">
        <f t="shared" si="16"/>
        <v>89.452716823406476</v>
      </c>
      <c r="L97" s="113">
        <f t="shared" si="18"/>
        <v>0</v>
      </c>
      <c r="M97" s="111"/>
    </row>
    <row r="98" spans="1:13" x14ac:dyDescent="0.3">
      <c r="A98" s="112" t="s">
        <v>197</v>
      </c>
      <c r="B98" s="112" t="s">
        <v>198</v>
      </c>
      <c r="C98" s="113">
        <v>1184</v>
      </c>
      <c r="D98" s="113">
        <v>255076</v>
      </c>
      <c r="E98" s="113">
        <v>100000</v>
      </c>
      <c r="F98" s="124">
        <v>26364</v>
      </c>
      <c r="G98" s="124">
        <f>60000-F98</f>
        <v>33636</v>
      </c>
      <c r="H98" s="113"/>
      <c r="I98" s="124">
        <f t="shared" si="15"/>
        <v>33636</v>
      </c>
      <c r="J98" s="113"/>
      <c r="K98" s="113">
        <f t="shared" si="16"/>
        <v>26.363999999999997</v>
      </c>
      <c r="L98" s="113">
        <f t="shared" si="18"/>
        <v>127.58306781975422</v>
      </c>
      <c r="M98" s="111"/>
    </row>
    <row r="99" spans="1:13" x14ac:dyDescent="0.3">
      <c r="A99" s="112" t="s">
        <v>199</v>
      </c>
      <c r="B99" s="112" t="s">
        <v>286</v>
      </c>
      <c r="C99" s="113"/>
      <c r="D99" s="113">
        <v>16000</v>
      </c>
      <c r="E99" s="113">
        <v>16000</v>
      </c>
      <c r="F99" s="124"/>
      <c r="G99" s="124"/>
      <c r="H99" s="113"/>
      <c r="I99" s="124">
        <f t="shared" si="15"/>
        <v>0</v>
      </c>
      <c r="J99" s="113"/>
      <c r="K99" s="113">
        <f t="shared" si="16"/>
        <v>0</v>
      </c>
      <c r="L99" s="113"/>
      <c r="M99" s="111"/>
    </row>
    <row r="100" spans="1:13" x14ac:dyDescent="0.3">
      <c r="A100" s="112" t="s">
        <v>200</v>
      </c>
      <c r="B100" s="112" t="s">
        <v>201</v>
      </c>
      <c r="C100" s="113"/>
      <c r="D100" s="113">
        <v>100000</v>
      </c>
      <c r="E100" s="113">
        <v>13501</v>
      </c>
      <c r="F100" s="124"/>
      <c r="G100" s="124">
        <v>13501</v>
      </c>
      <c r="H100" s="113"/>
      <c r="I100" s="124">
        <f t="shared" si="15"/>
        <v>13501</v>
      </c>
      <c r="J100" s="113"/>
      <c r="K100" s="113">
        <f t="shared" si="16"/>
        <v>0</v>
      </c>
      <c r="L100" s="113"/>
      <c r="M100" s="111"/>
    </row>
    <row r="101" spans="1:13" x14ac:dyDescent="0.3">
      <c r="A101" s="112" t="s">
        <v>202</v>
      </c>
      <c r="B101" s="112" t="s">
        <v>253</v>
      </c>
      <c r="C101" s="113"/>
      <c r="D101" s="113">
        <v>30000</v>
      </c>
      <c r="E101" s="113">
        <v>30000</v>
      </c>
      <c r="F101" s="124"/>
      <c r="G101" s="124">
        <v>30000</v>
      </c>
      <c r="H101" s="124"/>
      <c r="I101" s="124">
        <f t="shared" si="15"/>
        <v>30000</v>
      </c>
      <c r="J101" s="113"/>
      <c r="K101" s="113">
        <f t="shared" si="16"/>
        <v>0</v>
      </c>
      <c r="L101" s="113"/>
      <c r="M101" s="111"/>
    </row>
    <row r="102" spans="1:13" ht="26.4" customHeight="1" x14ac:dyDescent="0.3">
      <c r="A102" s="112" t="s">
        <v>203</v>
      </c>
      <c r="B102" s="132" t="s">
        <v>204</v>
      </c>
      <c r="C102" s="113"/>
      <c r="D102" s="113">
        <v>20000</v>
      </c>
      <c r="E102" s="113">
        <v>20000</v>
      </c>
      <c r="F102" s="113"/>
      <c r="G102" s="113">
        <v>20000</v>
      </c>
      <c r="H102" s="113"/>
      <c r="I102" s="113">
        <f t="shared" si="15"/>
        <v>20000</v>
      </c>
      <c r="J102" s="113"/>
      <c r="K102" s="113">
        <f t="shared" si="16"/>
        <v>0</v>
      </c>
      <c r="L102" s="113"/>
      <c r="M102" s="111"/>
    </row>
    <row r="103" spans="1:13" ht="39" customHeight="1" x14ac:dyDescent="0.3">
      <c r="A103" s="142" t="s">
        <v>205</v>
      </c>
      <c r="B103" s="141" t="s">
        <v>284</v>
      </c>
      <c r="C103" s="113"/>
      <c r="D103" s="113"/>
      <c r="E103" s="109">
        <v>70000</v>
      </c>
      <c r="F103" s="109">
        <v>3330</v>
      </c>
      <c r="G103" s="109">
        <f>62549-F103</f>
        <v>59219</v>
      </c>
      <c r="H103" s="109"/>
      <c r="I103" s="109"/>
      <c r="J103" s="113"/>
      <c r="K103" s="113">
        <f t="shared" si="16"/>
        <v>4.7571428571428571</v>
      </c>
      <c r="L103" s="113">
        <f t="shared" si="18"/>
        <v>0</v>
      </c>
      <c r="M103" s="111"/>
    </row>
    <row r="104" spans="1:13" x14ac:dyDescent="0.3">
      <c r="A104" s="109" t="s">
        <v>264</v>
      </c>
      <c r="B104" s="112" t="s">
        <v>301</v>
      </c>
      <c r="C104" s="113">
        <v>13420</v>
      </c>
      <c r="D104" s="144"/>
      <c r="E104" s="113"/>
      <c r="F104" s="124"/>
      <c r="G104" s="124"/>
      <c r="H104" s="124"/>
      <c r="I104" s="124"/>
      <c r="J104" s="113">
        <f t="shared" si="17"/>
        <v>0</v>
      </c>
      <c r="K104" s="113"/>
      <c r="L104" s="113"/>
      <c r="M104" s="111"/>
    </row>
    <row r="105" spans="1:13" x14ac:dyDescent="0.3">
      <c r="A105" s="112" t="s">
        <v>265</v>
      </c>
      <c r="B105" s="112" t="s">
        <v>302</v>
      </c>
      <c r="C105" s="113">
        <v>3000</v>
      </c>
      <c r="D105" s="144"/>
      <c r="E105" s="113"/>
      <c r="F105" s="124"/>
      <c r="G105" s="124"/>
      <c r="H105" s="124"/>
      <c r="I105" s="124"/>
      <c r="J105" s="113">
        <f t="shared" si="17"/>
        <v>0</v>
      </c>
      <c r="K105" s="113"/>
      <c r="L105" s="113"/>
      <c r="M105" s="111"/>
    </row>
    <row r="106" spans="1:13" ht="27" customHeight="1" x14ac:dyDescent="0.3">
      <c r="A106" s="142" t="s">
        <v>306</v>
      </c>
      <c r="B106" s="141" t="s">
        <v>300</v>
      </c>
      <c r="C106" s="113">
        <v>3000</v>
      </c>
      <c r="D106" s="144"/>
      <c r="E106" s="113"/>
      <c r="F106" s="113"/>
      <c r="G106" s="113"/>
      <c r="H106" s="113"/>
      <c r="I106" s="113"/>
      <c r="J106" s="113">
        <f t="shared" si="17"/>
        <v>0</v>
      </c>
      <c r="K106" s="113"/>
      <c r="L106" s="113"/>
      <c r="M106" s="111"/>
    </row>
    <row r="107" spans="1:13" ht="27" customHeight="1" x14ac:dyDescent="0.3">
      <c r="A107" s="142" t="s">
        <v>307</v>
      </c>
      <c r="B107" s="141" t="s">
        <v>303</v>
      </c>
      <c r="C107" s="113">
        <v>10700</v>
      </c>
      <c r="D107" s="144"/>
      <c r="E107" s="113"/>
      <c r="F107" s="113"/>
      <c r="G107" s="113"/>
      <c r="H107" s="113"/>
      <c r="I107" s="113"/>
      <c r="J107" s="113">
        <f t="shared" si="17"/>
        <v>0</v>
      </c>
      <c r="K107" s="113"/>
      <c r="L107" s="113"/>
      <c r="M107" s="111"/>
    </row>
    <row r="108" spans="1:13" x14ac:dyDescent="0.3">
      <c r="A108" s="112" t="s">
        <v>308</v>
      </c>
      <c r="B108" s="112" t="s">
        <v>304</v>
      </c>
      <c r="C108" s="113">
        <v>5200</v>
      </c>
      <c r="D108" s="144"/>
      <c r="E108" s="113"/>
      <c r="F108" s="124"/>
      <c r="G108" s="124"/>
      <c r="H108" s="124"/>
      <c r="I108" s="124"/>
      <c r="J108" s="113">
        <f t="shared" si="17"/>
        <v>0</v>
      </c>
      <c r="K108" s="113"/>
      <c r="L108" s="113"/>
      <c r="M108" s="111"/>
    </row>
    <row r="109" spans="1:13" x14ac:dyDescent="0.3">
      <c r="A109" s="112" t="s">
        <v>309</v>
      </c>
      <c r="B109" s="112" t="s">
        <v>305</v>
      </c>
      <c r="C109" s="113">
        <v>2120</v>
      </c>
      <c r="D109" s="144"/>
      <c r="E109" s="113"/>
      <c r="F109" s="124"/>
      <c r="G109" s="124"/>
      <c r="H109" s="124"/>
      <c r="I109" s="124"/>
      <c r="J109" s="113">
        <f t="shared" si="17"/>
        <v>0</v>
      </c>
      <c r="K109" s="113"/>
      <c r="L109" s="113"/>
      <c r="M109" s="111"/>
    </row>
    <row r="110" spans="1:13" ht="13.95" customHeight="1" x14ac:dyDescent="0.3">
      <c r="A110" s="109" t="s">
        <v>91</v>
      </c>
      <c r="B110" s="141" t="s">
        <v>266</v>
      </c>
      <c r="C110" s="113">
        <v>10066</v>
      </c>
      <c r="D110" s="144"/>
      <c r="E110" s="113"/>
      <c r="F110" s="113"/>
      <c r="G110" s="113"/>
      <c r="H110" s="109"/>
      <c r="I110" s="113"/>
      <c r="J110" s="113">
        <f t="shared" si="17"/>
        <v>0</v>
      </c>
      <c r="K110" s="113"/>
      <c r="L110" s="113"/>
      <c r="M110" s="111"/>
    </row>
    <row r="111" spans="1:13" s="184" customFormat="1" ht="18" customHeight="1" x14ac:dyDescent="0.3">
      <c r="A111" s="180"/>
      <c r="B111" s="181" t="s">
        <v>206</v>
      </c>
      <c r="C111" s="182">
        <f t="shared" ref="C111:H111" si="20">+C8+C35+C92</f>
        <v>463165</v>
      </c>
      <c r="D111" s="182">
        <f t="shared" si="20"/>
        <v>4621342</v>
      </c>
      <c r="E111" s="182">
        <f t="shared" si="20"/>
        <v>4621342</v>
      </c>
      <c r="F111" s="182">
        <f t="shared" si="20"/>
        <v>2840277</v>
      </c>
      <c r="G111" s="182">
        <f t="shared" si="20"/>
        <v>1126377</v>
      </c>
      <c r="H111" s="182">
        <f t="shared" si="20"/>
        <v>654688</v>
      </c>
      <c r="I111" s="182">
        <f>+I8+I35+I92</f>
        <v>1781065</v>
      </c>
      <c r="J111" s="182">
        <f t="shared" si="17"/>
        <v>613.23221746030038</v>
      </c>
      <c r="K111" s="182">
        <f t="shared" si="16"/>
        <v>61.460004474890631</v>
      </c>
      <c r="L111" s="182">
        <f t="shared" si="18"/>
        <v>62.70744015460464</v>
      </c>
      <c r="M111" s="183"/>
    </row>
    <row r="112" spans="1:13" x14ac:dyDescent="0.3">
      <c r="F112" s="111"/>
    </row>
    <row r="113" spans="6:9" x14ac:dyDescent="0.3">
      <c r="F113" s="111"/>
      <c r="I113" s="111"/>
    </row>
    <row r="114" spans="6:9" x14ac:dyDescent="0.3">
      <c r="I114" s="111"/>
    </row>
    <row r="115" spans="6:9" x14ac:dyDescent="0.3">
      <c r="I115" s="111"/>
    </row>
  </sheetData>
  <mergeCells count="9">
    <mergeCell ref="F5:I5"/>
    <mergeCell ref="E5:E6"/>
    <mergeCell ref="A3:L3"/>
    <mergeCell ref="I4:L4"/>
    <mergeCell ref="A5:A6"/>
    <mergeCell ref="B5:B6"/>
    <mergeCell ref="C5:C6"/>
    <mergeCell ref="J5:L5"/>
    <mergeCell ref="D5:D6"/>
  </mergeCells>
  <printOptions horizontalCentered="1"/>
  <pageMargins left="0.35433070866141736" right="0.27559055118110237" top="0.44" bottom="0.26" header="0.31496062992125984" footer="0.2"/>
  <pageSetup paperSize="9" scale="85" orientation="landscape" verticalDpi="0" r:id="rId1"/>
  <colBreaks count="1" manualBreakCount="1">
    <brk id="13" max="103" man="1"/>
  </colBreaks>
  <ignoredErrors>
    <ignoredError sqref="G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V27"/>
  <sheetViews>
    <sheetView workbookViewId="0">
      <selection activeCell="S21" sqref="S21"/>
    </sheetView>
  </sheetViews>
  <sheetFormatPr defaultRowHeight="13.8" x14ac:dyDescent="0.25"/>
  <cols>
    <col min="1" max="1" width="4.5546875" style="23" customWidth="1"/>
    <col min="2" max="2" width="37.109375" style="23" customWidth="1"/>
    <col min="3" max="3" width="12.6640625" style="26" customWidth="1"/>
    <col min="4" max="4" width="5.6640625" style="23" customWidth="1"/>
    <col min="5" max="5" width="12.6640625" style="23" customWidth="1"/>
    <col min="6" max="6" width="5.6640625" style="23" customWidth="1"/>
    <col min="7" max="7" width="12.6640625" style="23" customWidth="1"/>
    <col min="8" max="8" width="5.6640625" style="23" customWidth="1"/>
    <col min="9" max="9" width="11.6640625" style="23" customWidth="1"/>
    <col min="10" max="10" width="4.6640625" style="23" customWidth="1"/>
    <col min="11" max="13" width="12.6640625" style="23" customWidth="1"/>
    <col min="14" max="14" width="7" style="23" customWidth="1"/>
    <col min="15" max="16" width="6.109375" style="23" customWidth="1"/>
    <col min="17" max="17" width="6.88671875" style="23" bestFit="1" customWidth="1"/>
    <col min="18" max="18" width="5.5546875" style="23" customWidth="1"/>
    <col min="19" max="19" width="15.88671875" style="23" customWidth="1"/>
    <col min="20" max="20" width="5.44140625" style="23" customWidth="1"/>
    <col min="21" max="21" width="4.88671875" style="23" customWidth="1"/>
    <col min="22" max="258" width="8.88671875" style="23"/>
    <col min="259" max="259" width="4.109375" style="23" customWidth="1"/>
    <col min="260" max="260" width="33.44140625" style="23" customWidth="1"/>
    <col min="261" max="261" width="12.6640625" style="23" customWidth="1"/>
    <col min="262" max="262" width="5.6640625" style="23" customWidth="1"/>
    <col min="263" max="263" width="12.6640625" style="23" customWidth="1"/>
    <col min="264" max="264" width="5.6640625" style="23" customWidth="1"/>
    <col min="265" max="265" width="12.6640625" style="23" customWidth="1"/>
    <col min="266" max="266" width="5.6640625" style="23" customWidth="1"/>
    <col min="267" max="269" width="12.6640625" style="23" customWidth="1"/>
    <col min="270" max="271" width="5.6640625" style="23" customWidth="1"/>
    <col min="272" max="272" width="5.44140625" style="23" customWidth="1"/>
    <col min="273" max="275" width="5.5546875" style="23" customWidth="1"/>
    <col min="276" max="276" width="5.44140625" style="23" customWidth="1"/>
    <col min="277" max="277" width="4.88671875" style="23" customWidth="1"/>
    <col min="278" max="514" width="8.88671875" style="23"/>
    <col min="515" max="515" width="4.109375" style="23" customWidth="1"/>
    <col min="516" max="516" width="33.44140625" style="23" customWidth="1"/>
    <col min="517" max="517" width="12.6640625" style="23" customWidth="1"/>
    <col min="518" max="518" width="5.6640625" style="23" customWidth="1"/>
    <col min="519" max="519" width="12.6640625" style="23" customWidth="1"/>
    <col min="520" max="520" width="5.6640625" style="23" customWidth="1"/>
    <col min="521" max="521" width="12.6640625" style="23" customWidth="1"/>
    <col min="522" max="522" width="5.6640625" style="23" customWidth="1"/>
    <col min="523" max="525" width="12.6640625" style="23" customWidth="1"/>
    <col min="526" max="527" width="5.6640625" style="23" customWidth="1"/>
    <col min="528" max="528" width="5.44140625" style="23" customWidth="1"/>
    <col min="529" max="531" width="5.5546875" style="23" customWidth="1"/>
    <col min="532" max="532" width="5.44140625" style="23" customWidth="1"/>
    <col min="533" max="533" width="4.88671875" style="23" customWidth="1"/>
    <col min="534" max="770" width="8.88671875" style="23"/>
    <col min="771" max="771" width="4.109375" style="23" customWidth="1"/>
    <col min="772" max="772" width="33.44140625" style="23" customWidth="1"/>
    <col min="773" max="773" width="12.6640625" style="23" customWidth="1"/>
    <col min="774" max="774" width="5.6640625" style="23" customWidth="1"/>
    <col min="775" max="775" width="12.6640625" style="23" customWidth="1"/>
    <col min="776" max="776" width="5.6640625" style="23" customWidth="1"/>
    <col min="777" max="777" width="12.6640625" style="23" customWidth="1"/>
    <col min="778" max="778" width="5.6640625" style="23" customWidth="1"/>
    <col min="779" max="781" width="12.6640625" style="23" customWidth="1"/>
    <col min="782" max="783" width="5.6640625" style="23" customWidth="1"/>
    <col min="784" max="784" width="5.44140625" style="23" customWidth="1"/>
    <col min="785" max="787" width="5.5546875" style="23" customWidth="1"/>
    <col min="788" max="788" width="5.44140625" style="23" customWidth="1"/>
    <col min="789" max="789" width="4.88671875" style="23" customWidth="1"/>
    <col min="790" max="1026" width="8.88671875" style="23"/>
    <col min="1027" max="1027" width="4.109375" style="23" customWidth="1"/>
    <col min="1028" max="1028" width="33.44140625" style="23" customWidth="1"/>
    <col min="1029" max="1029" width="12.6640625" style="23" customWidth="1"/>
    <col min="1030" max="1030" width="5.6640625" style="23" customWidth="1"/>
    <col min="1031" max="1031" width="12.6640625" style="23" customWidth="1"/>
    <col min="1032" max="1032" width="5.6640625" style="23" customWidth="1"/>
    <col min="1033" max="1033" width="12.6640625" style="23" customWidth="1"/>
    <col min="1034" max="1034" width="5.6640625" style="23" customWidth="1"/>
    <col min="1035" max="1037" width="12.6640625" style="23" customWidth="1"/>
    <col min="1038" max="1039" width="5.6640625" style="23" customWidth="1"/>
    <col min="1040" max="1040" width="5.44140625" style="23" customWidth="1"/>
    <col min="1041" max="1043" width="5.5546875" style="23" customWidth="1"/>
    <col min="1044" max="1044" width="5.44140625" style="23" customWidth="1"/>
    <col min="1045" max="1045" width="4.88671875" style="23" customWidth="1"/>
    <col min="1046" max="1282" width="8.88671875" style="23"/>
    <col min="1283" max="1283" width="4.109375" style="23" customWidth="1"/>
    <col min="1284" max="1284" width="33.44140625" style="23" customWidth="1"/>
    <col min="1285" max="1285" width="12.6640625" style="23" customWidth="1"/>
    <col min="1286" max="1286" width="5.6640625" style="23" customWidth="1"/>
    <col min="1287" max="1287" width="12.6640625" style="23" customWidth="1"/>
    <col min="1288" max="1288" width="5.6640625" style="23" customWidth="1"/>
    <col min="1289" max="1289" width="12.6640625" style="23" customWidth="1"/>
    <col min="1290" max="1290" width="5.6640625" style="23" customWidth="1"/>
    <col min="1291" max="1293" width="12.6640625" style="23" customWidth="1"/>
    <col min="1294" max="1295" width="5.6640625" style="23" customWidth="1"/>
    <col min="1296" max="1296" width="5.44140625" style="23" customWidth="1"/>
    <col min="1297" max="1299" width="5.5546875" style="23" customWidth="1"/>
    <col min="1300" max="1300" width="5.44140625" style="23" customWidth="1"/>
    <col min="1301" max="1301" width="4.88671875" style="23" customWidth="1"/>
    <col min="1302" max="1538" width="8.88671875" style="23"/>
    <col min="1539" max="1539" width="4.109375" style="23" customWidth="1"/>
    <col min="1540" max="1540" width="33.44140625" style="23" customWidth="1"/>
    <col min="1541" max="1541" width="12.6640625" style="23" customWidth="1"/>
    <col min="1542" max="1542" width="5.6640625" style="23" customWidth="1"/>
    <col min="1543" max="1543" width="12.6640625" style="23" customWidth="1"/>
    <col min="1544" max="1544" width="5.6640625" style="23" customWidth="1"/>
    <col min="1545" max="1545" width="12.6640625" style="23" customWidth="1"/>
    <col min="1546" max="1546" width="5.6640625" style="23" customWidth="1"/>
    <col min="1547" max="1549" width="12.6640625" style="23" customWidth="1"/>
    <col min="1550" max="1551" width="5.6640625" style="23" customWidth="1"/>
    <col min="1552" max="1552" width="5.44140625" style="23" customWidth="1"/>
    <col min="1553" max="1555" width="5.5546875" style="23" customWidth="1"/>
    <col min="1556" max="1556" width="5.44140625" style="23" customWidth="1"/>
    <col min="1557" max="1557" width="4.88671875" style="23" customWidth="1"/>
    <col min="1558" max="1794" width="8.88671875" style="23"/>
    <col min="1795" max="1795" width="4.109375" style="23" customWidth="1"/>
    <col min="1796" max="1796" width="33.44140625" style="23" customWidth="1"/>
    <col min="1797" max="1797" width="12.6640625" style="23" customWidth="1"/>
    <col min="1798" max="1798" width="5.6640625" style="23" customWidth="1"/>
    <col min="1799" max="1799" width="12.6640625" style="23" customWidth="1"/>
    <col min="1800" max="1800" width="5.6640625" style="23" customWidth="1"/>
    <col min="1801" max="1801" width="12.6640625" style="23" customWidth="1"/>
    <col min="1802" max="1802" width="5.6640625" style="23" customWidth="1"/>
    <col min="1803" max="1805" width="12.6640625" style="23" customWidth="1"/>
    <col min="1806" max="1807" width="5.6640625" style="23" customWidth="1"/>
    <col min="1808" max="1808" width="5.44140625" style="23" customWidth="1"/>
    <col min="1809" max="1811" width="5.5546875" style="23" customWidth="1"/>
    <col min="1812" max="1812" width="5.44140625" style="23" customWidth="1"/>
    <col min="1813" max="1813" width="4.88671875" style="23" customWidth="1"/>
    <col min="1814" max="2050" width="8.88671875" style="23"/>
    <col min="2051" max="2051" width="4.109375" style="23" customWidth="1"/>
    <col min="2052" max="2052" width="33.44140625" style="23" customWidth="1"/>
    <col min="2053" max="2053" width="12.6640625" style="23" customWidth="1"/>
    <col min="2054" max="2054" width="5.6640625" style="23" customWidth="1"/>
    <col min="2055" max="2055" width="12.6640625" style="23" customWidth="1"/>
    <col min="2056" max="2056" width="5.6640625" style="23" customWidth="1"/>
    <col min="2057" max="2057" width="12.6640625" style="23" customWidth="1"/>
    <col min="2058" max="2058" width="5.6640625" style="23" customWidth="1"/>
    <col min="2059" max="2061" width="12.6640625" style="23" customWidth="1"/>
    <col min="2062" max="2063" width="5.6640625" style="23" customWidth="1"/>
    <col min="2064" max="2064" width="5.44140625" style="23" customWidth="1"/>
    <col min="2065" max="2067" width="5.5546875" style="23" customWidth="1"/>
    <col min="2068" max="2068" width="5.44140625" style="23" customWidth="1"/>
    <col min="2069" max="2069" width="4.88671875" style="23" customWidth="1"/>
    <col min="2070" max="2306" width="8.88671875" style="23"/>
    <col min="2307" max="2307" width="4.109375" style="23" customWidth="1"/>
    <col min="2308" max="2308" width="33.44140625" style="23" customWidth="1"/>
    <col min="2309" max="2309" width="12.6640625" style="23" customWidth="1"/>
    <col min="2310" max="2310" width="5.6640625" style="23" customWidth="1"/>
    <col min="2311" max="2311" width="12.6640625" style="23" customWidth="1"/>
    <col min="2312" max="2312" width="5.6640625" style="23" customWidth="1"/>
    <col min="2313" max="2313" width="12.6640625" style="23" customWidth="1"/>
    <col min="2314" max="2314" width="5.6640625" style="23" customWidth="1"/>
    <col min="2315" max="2317" width="12.6640625" style="23" customWidth="1"/>
    <col min="2318" max="2319" width="5.6640625" style="23" customWidth="1"/>
    <col min="2320" max="2320" width="5.44140625" style="23" customWidth="1"/>
    <col min="2321" max="2323" width="5.5546875" style="23" customWidth="1"/>
    <col min="2324" max="2324" width="5.44140625" style="23" customWidth="1"/>
    <col min="2325" max="2325" width="4.88671875" style="23" customWidth="1"/>
    <col min="2326" max="2562" width="8.88671875" style="23"/>
    <col min="2563" max="2563" width="4.109375" style="23" customWidth="1"/>
    <col min="2564" max="2564" width="33.44140625" style="23" customWidth="1"/>
    <col min="2565" max="2565" width="12.6640625" style="23" customWidth="1"/>
    <col min="2566" max="2566" width="5.6640625" style="23" customWidth="1"/>
    <col min="2567" max="2567" width="12.6640625" style="23" customWidth="1"/>
    <col min="2568" max="2568" width="5.6640625" style="23" customWidth="1"/>
    <col min="2569" max="2569" width="12.6640625" style="23" customWidth="1"/>
    <col min="2570" max="2570" width="5.6640625" style="23" customWidth="1"/>
    <col min="2571" max="2573" width="12.6640625" style="23" customWidth="1"/>
    <col min="2574" max="2575" width="5.6640625" style="23" customWidth="1"/>
    <col min="2576" max="2576" width="5.44140625" style="23" customWidth="1"/>
    <col min="2577" max="2579" width="5.5546875" style="23" customWidth="1"/>
    <col min="2580" max="2580" width="5.44140625" style="23" customWidth="1"/>
    <col min="2581" max="2581" width="4.88671875" style="23" customWidth="1"/>
    <col min="2582" max="2818" width="8.88671875" style="23"/>
    <col min="2819" max="2819" width="4.109375" style="23" customWidth="1"/>
    <col min="2820" max="2820" width="33.44140625" style="23" customWidth="1"/>
    <col min="2821" max="2821" width="12.6640625" style="23" customWidth="1"/>
    <col min="2822" max="2822" width="5.6640625" style="23" customWidth="1"/>
    <col min="2823" max="2823" width="12.6640625" style="23" customWidth="1"/>
    <col min="2824" max="2824" width="5.6640625" style="23" customWidth="1"/>
    <col min="2825" max="2825" width="12.6640625" style="23" customWidth="1"/>
    <col min="2826" max="2826" width="5.6640625" style="23" customWidth="1"/>
    <col min="2827" max="2829" width="12.6640625" style="23" customWidth="1"/>
    <col min="2830" max="2831" width="5.6640625" style="23" customWidth="1"/>
    <col min="2832" max="2832" width="5.44140625" style="23" customWidth="1"/>
    <col min="2833" max="2835" width="5.5546875" style="23" customWidth="1"/>
    <col min="2836" max="2836" width="5.44140625" style="23" customWidth="1"/>
    <col min="2837" max="2837" width="4.88671875" style="23" customWidth="1"/>
    <col min="2838" max="3074" width="8.88671875" style="23"/>
    <col min="3075" max="3075" width="4.109375" style="23" customWidth="1"/>
    <col min="3076" max="3076" width="33.44140625" style="23" customWidth="1"/>
    <col min="3077" max="3077" width="12.6640625" style="23" customWidth="1"/>
    <col min="3078" max="3078" width="5.6640625" style="23" customWidth="1"/>
    <col min="3079" max="3079" width="12.6640625" style="23" customWidth="1"/>
    <col min="3080" max="3080" width="5.6640625" style="23" customWidth="1"/>
    <col min="3081" max="3081" width="12.6640625" style="23" customWidth="1"/>
    <col min="3082" max="3082" width="5.6640625" style="23" customWidth="1"/>
    <col min="3083" max="3085" width="12.6640625" style="23" customWidth="1"/>
    <col min="3086" max="3087" width="5.6640625" style="23" customWidth="1"/>
    <col min="3088" max="3088" width="5.44140625" style="23" customWidth="1"/>
    <col min="3089" max="3091" width="5.5546875" style="23" customWidth="1"/>
    <col min="3092" max="3092" width="5.44140625" style="23" customWidth="1"/>
    <col min="3093" max="3093" width="4.88671875" style="23" customWidth="1"/>
    <col min="3094" max="3330" width="8.88671875" style="23"/>
    <col min="3331" max="3331" width="4.109375" style="23" customWidth="1"/>
    <col min="3332" max="3332" width="33.44140625" style="23" customWidth="1"/>
    <col min="3333" max="3333" width="12.6640625" style="23" customWidth="1"/>
    <col min="3334" max="3334" width="5.6640625" style="23" customWidth="1"/>
    <col min="3335" max="3335" width="12.6640625" style="23" customWidth="1"/>
    <col min="3336" max="3336" width="5.6640625" style="23" customWidth="1"/>
    <col min="3337" max="3337" width="12.6640625" style="23" customWidth="1"/>
    <col min="3338" max="3338" width="5.6640625" style="23" customWidth="1"/>
    <col min="3339" max="3341" width="12.6640625" style="23" customWidth="1"/>
    <col min="3342" max="3343" width="5.6640625" style="23" customWidth="1"/>
    <col min="3344" max="3344" width="5.44140625" style="23" customWidth="1"/>
    <col min="3345" max="3347" width="5.5546875" style="23" customWidth="1"/>
    <col min="3348" max="3348" width="5.44140625" style="23" customWidth="1"/>
    <col min="3349" max="3349" width="4.88671875" style="23" customWidth="1"/>
    <col min="3350" max="3586" width="8.88671875" style="23"/>
    <col min="3587" max="3587" width="4.109375" style="23" customWidth="1"/>
    <col min="3588" max="3588" width="33.44140625" style="23" customWidth="1"/>
    <col min="3589" max="3589" width="12.6640625" style="23" customWidth="1"/>
    <col min="3590" max="3590" width="5.6640625" style="23" customWidth="1"/>
    <col min="3591" max="3591" width="12.6640625" style="23" customWidth="1"/>
    <col min="3592" max="3592" width="5.6640625" style="23" customWidth="1"/>
    <col min="3593" max="3593" width="12.6640625" style="23" customWidth="1"/>
    <col min="3594" max="3594" width="5.6640625" style="23" customWidth="1"/>
    <col min="3595" max="3597" width="12.6640625" style="23" customWidth="1"/>
    <col min="3598" max="3599" width="5.6640625" style="23" customWidth="1"/>
    <col min="3600" max="3600" width="5.44140625" style="23" customWidth="1"/>
    <col min="3601" max="3603" width="5.5546875" style="23" customWidth="1"/>
    <col min="3604" max="3604" width="5.44140625" style="23" customWidth="1"/>
    <col min="3605" max="3605" width="4.88671875" style="23" customWidth="1"/>
    <col min="3606" max="3842" width="8.88671875" style="23"/>
    <col min="3843" max="3843" width="4.109375" style="23" customWidth="1"/>
    <col min="3844" max="3844" width="33.44140625" style="23" customWidth="1"/>
    <col min="3845" max="3845" width="12.6640625" style="23" customWidth="1"/>
    <col min="3846" max="3846" width="5.6640625" style="23" customWidth="1"/>
    <col min="3847" max="3847" width="12.6640625" style="23" customWidth="1"/>
    <col min="3848" max="3848" width="5.6640625" style="23" customWidth="1"/>
    <col min="3849" max="3849" width="12.6640625" style="23" customWidth="1"/>
    <col min="3850" max="3850" width="5.6640625" style="23" customWidth="1"/>
    <col min="3851" max="3853" width="12.6640625" style="23" customWidth="1"/>
    <col min="3854" max="3855" width="5.6640625" style="23" customWidth="1"/>
    <col min="3856" max="3856" width="5.44140625" style="23" customWidth="1"/>
    <col min="3857" max="3859" width="5.5546875" style="23" customWidth="1"/>
    <col min="3860" max="3860" width="5.44140625" style="23" customWidth="1"/>
    <col min="3861" max="3861" width="4.88671875" style="23" customWidth="1"/>
    <col min="3862" max="4098" width="8.88671875" style="23"/>
    <col min="4099" max="4099" width="4.109375" style="23" customWidth="1"/>
    <col min="4100" max="4100" width="33.44140625" style="23" customWidth="1"/>
    <col min="4101" max="4101" width="12.6640625" style="23" customWidth="1"/>
    <col min="4102" max="4102" width="5.6640625" style="23" customWidth="1"/>
    <col min="4103" max="4103" width="12.6640625" style="23" customWidth="1"/>
    <col min="4104" max="4104" width="5.6640625" style="23" customWidth="1"/>
    <col min="4105" max="4105" width="12.6640625" style="23" customWidth="1"/>
    <col min="4106" max="4106" width="5.6640625" style="23" customWidth="1"/>
    <col min="4107" max="4109" width="12.6640625" style="23" customWidth="1"/>
    <col min="4110" max="4111" width="5.6640625" style="23" customWidth="1"/>
    <col min="4112" max="4112" width="5.44140625" style="23" customWidth="1"/>
    <col min="4113" max="4115" width="5.5546875" style="23" customWidth="1"/>
    <col min="4116" max="4116" width="5.44140625" style="23" customWidth="1"/>
    <col min="4117" max="4117" width="4.88671875" style="23" customWidth="1"/>
    <col min="4118" max="4354" width="8.88671875" style="23"/>
    <col min="4355" max="4355" width="4.109375" style="23" customWidth="1"/>
    <col min="4356" max="4356" width="33.44140625" style="23" customWidth="1"/>
    <col min="4357" max="4357" width="12.6640625" style="23" customWidth="1"/>
    <col min="4358" max="4358" width="5.6640625" style="23" customWidth="1"/>
    <col min="4359" max="4359" width="12.6640625" style="23" customWidth="1"/>
    <col min="4360" max="4360" width="5.6640625" style="23" customWidth="1"/>
    <col min="4361" max="4361" width="12.6640625" style="23" customWidth="1"/>
    <col min="4362" max="4362" width="5.6640625" style="23" customWidth="1"/>
    <col min="4363" max="4365" width="12.6640625" style="23" customWidth="1"/>
    <col min="4366" max="4367" width="5.6640625" style="23" customWidth="1"/>
    <col min="4368" max="4368" width="5.44140625" style="23" customWidth="1"/>
    <col min="4369" max="4371" width="5.5546875" style="23" customWidth="1"/>
    <col min="4372" max="4372" width="5.44140625" style="23" customWidth="1"/>
    <col min="4373" max="4373" width="4.88671875" style="23" customWidth="1"/>
    <col min="4374" max="4610" width="8.88671875" style="23"/>
    <col min="4611" max="4611" width="4.109375" style="23" customWidth="1"/>
    <col min="4612" max="4612" width="33.44140625" style="23" customWidth="1"/>
    <col min="4613" max="4613" width="12.6640625" style="23" customWidth="1"/>
    <col min="4614" max="4614" width="5.6640625" style="23" customWidth="1"/>
    <col min="4615" max="4615" width="12.6640625" style="23" customWidth="1"/>
    <col min="4616" max="4616" width="5.6640625" style="23" customWidth="1"/>
    <col min="4617" max="4617" width="12.6640625" style="23" customWidth="1"/>
    <col min="4618" max="4618" width="5.6640625" style="23" customWidth="1"/>
    <col min="4619" max="4621" width="12.6640625" style="23" customWidth="1"/>
    <col min="4622" max="4623" width="5.6640625" style="23" customWidth="1"/>
    <col min="4624" max="4624" width="5.44140625" style="23" customWidth="1"/>
    <col min="4625" max="4627" width="5.5546875" style="23" customWidth="1"/>
    <col min="4628" max="4628" width="5.44140625" style="23" customWidth="1"/>
    <col min="4629" max="4629" width="4.88671875" style="23" customWidth="1"/>
    <col min="4630" max="4866" width="8.88671875" style="23"/>
    <col min="4867" max="4867" width="4.109375" style="23" customWidth="1"/>
    <col min="4868" max="4868" width="33.44140625" style="23" customWidth="1"/>
    <col min="4869" max="4869" width="12.6640625" style="23" customWidth="1"/>
    <col min="4870" max="4870" width="5.6640625" style="23" customWidth="1"/>
    <col min="4871" max="4871" width="12.6640625" style="23" customWidth="1"/>
    <col min="4872" max="4872" width="5.6640625" style="23" customWidth="1"/>
    <col min="4873" max="4873" width="12.6640625" style="23" customWidth="1"/>
    <col min="4874" max="4874" width="5.6640625" style="23" customWidth="1"/>
    <col min="4875" max="4877" width="12.6640625" style="23" customWidth="1"/>
    <col min="4878" max="4879" width="5.6640625" style="23" customWidth="1"/>
    <col min="4880" max="4880" width="5.44140625" style="23" customWidth="1"/>
    <col min="4881" max="4883" width="5.5546875" style="23" customWidth="1"/>
    <col min="4884" max="4884" width="5.44140625" style="23" customWidth="1"/>
    <col min="4885" max="4885" width="4.88671875" style="23" customWidth="1"/>
    <col min="4886" max="5122" width="8.88671875" style="23"/>
    <col min="5123" max="5123" width="4.109375" style="23" customWidth="1"/>
    <col min="5124" max="5124" width="33.44140625" style="23" customWidth="1"/>
    <col min="5125" max="5125" width="12.6640625" style="23" customWidth="1"/>
    <col min="5126" max="5126" width="5.6640625" style="23" customWidth="1"/>
    <col min="5127" max="5127" width="12.6640625" style="23" customWidth="1"/>
    <col min="5128" max="5128" width="5.6640625" style="23" customWidth="1"/>
    <col min="5129" max="5129" width="12.6640625" style="23" customWidth="1"/>
    <col min="5130" max="5130" width="5.6640625" style="23" customWidth="1"/>
    <col min="5131" max="5133" width="12.6640625" style="23" customWidth="1"/>
    <col min="5134" max="5135" width="5.6640625" style="23" customWidth="1"/>
    <col min="5136" max="5136" width="5.44140625" style="23" customWidth="1"/>
    <col min="5137" max="5139" width="5.5546875" style="23" customWidth="1"/>
    <col min="5140" max="5140" width="5.44140625" style="23" customWidth="1"/>
    <col min="5141" max="5141" width="4.88671875" style="23" customWidth="1"/>
    <col min="5142" max="5378" width="8.88671875" style="23"/>
    <col min="5379" max="5379" width="4.109375" style="23" customWidth="1"/>
    <col min="5380" max="5380" width="33.44140625" style="23" customWidth="1"/>
    <col min="5381" max="5381" width="12.6640625" style="23" customWidth="1"/>
    <col min="5382" max="5382" width="5.6640625" style="23" customWidth="1"/>
    <col min="5383" max="5383" width="12.6640625" style="23" customWidth="1"/>
    <col min="5384" max="5384" width="5.6640625" style="23" customWidth="1"/>
    <col min="5385" max="5385" width="12.6640625" style="23" customWidth="1"/>
    <col min="5386" max="5386" width="5.6640625" style="23" customWidth="1"/>
    <col min="5387" max="5389" width="12.6640625" style="23" customWidth="1"/>
    <col min="5390" max="5391" width="5.6640625" style="23" customWidth="1"/>
    <col min="5392" max="5392" width="5.44140625" style="23" customWidth="1"/>
    <col min="5393" max="5395" width="5.5546875" style="23" customWidth="1"/>
    <col min="5396" max="5396" width="5.44140625" style="23" customWidth="1"/>
    <col min="5397" max="5397" width="4.88671875" style="23" customWidth="1"/>
    <col min="5398" max="5634" width="8.88671875" style="23"/>
    <col min="5635" max="5635" width="4.109375" style="23" customWidth="1"/>
    <col min="5636" max="5636" width="33.44140625" style="23" customWidth="1"/>
    <col min="5637" max="5637" width="12.6640625" style="23" customWidth="1"/>
    <col min="5638" max="5638" width="5.6640625" style="23" customWidth="1"/>
    <col min="5639" max="5639" width="12.6640625" style="23" customWidth="1"/>
    <col min="5640" max="5640" width="5.6640625" style="23" customWidth="1"/>
    <col min="5641" max="5641" width="12.6640625" style="23" customWidth="1"/>
    <col min="5642" max="5642" width="5.6640625" style="23" customWidth="1"/>
    <col min="5643" max="5645" width="12.6640625" style="23" customWidth="1"/>
    <col min="5646" max="5647" width="5.6640625" style="23" customWidth="1"/>
    <col min="5648" max="5648" width="5.44140625" style="23" customWidth="1"/>
    <col min="5649" max="5651" width="5.5546875" style="23" customWidth="1"/>
    <col min="5652" max="5652" width="5.44140625" style="23" customWidth="1"/>
    <col min="5653" max="5653" width="4.88671875" style="23" customWidth="1"/>
    <col min="5654" max="5890" width="8.88671875" style="23"/>
    <col min="5891" max="5891" width="4.109375" style="23" customWidth="1"/>
    <col min="5892" max="5892" width="33.44140625" style="23" customWidth="1"/>
    <col min="5893" max="5893" width="12.6640625" style="23" customWidth="1"/>
    <col min="5894" max="5894" width="5.6640625" style="23" customWidth="1"/>
    <col min="5895" max="5895" width="12.6640625" style="23" customWidth="1"/>
    <col min="5896" max="5896" width="5.6640625" style="23" customWidth="1"/>
    <col min="5897" max="5897" width="12.6640625" style="23" customWidth="1"/>
    <col min="5898" max="5898" width="5.6640625" style="23" customWidth="1"/>
    <col min="5899" max="5901" width="12.6640625" style="23" customWidth="1"/>
    <col min="5902" max="5903" width="5.6640625" style="23" customWidth="1"/>
    <col min="5904" max="5904" width="5.44140625" style="23" customWidth="1"/>
    <col min="5905" max="5907" width="5.5546875" style="23" customWidth="1"/>
    <col min="5908" max="5908" width="5.44140625" style="23" customWidth="1"/>
    <col min="5909" max="5909" width="4.88671875" style="23" customWidth="1"/>
    <col min="5910" max="6146" width="8.88671875" style="23"/>
    <col min="6147" max="6147" width="4.109375" style="23" customWidth="1"/>
    <col min="6148" max="6148" width="33.44140625" style="23" customWidth="1"/>
    <col min="6149" max="6149" width="12.6640625" style="23" customWidth="1"/>
    <col min="6150" max="6150" width="5.6640625" style="23" customWidth="1"/>
    <col min="6151" max="6151" width="12.6640625" style="23" customWidth="1"/>
    <col min="6152" max="6152" width="5.6640625" style="23" customWidth="1"/>
    <col min="6153" max="6153" width="12.6640625" style="23" customWidth="1"/>
    <col min="6154" max="6154" width="5.6640625" style="23" customWidth="1"/>
    <col min="6155" max="6157" width="12.6640625" style="23" customWidth="1"/>
    <col min="6158" max="6159" width="5.6640625" style="23" customWidth="1"/>
    <col min="6160" max="6160" width="5.44140625" style="23" customWidth="1"/>
    <col min="6161" max="6163" width="5.5546875" style="23" customWidth="1"/>
    <col min="6164" max="6164" width="5.44140625" style="23" customWidth="1"/>
    <col min="6165" max="6165" width="4.88671875" style="23" customWidth="1"/>
    <col min="6166" max="6402" width="8.88671875" style="23"/>
    <col min="6403" max="6403" width="4.109375" style="23" customWidth="1"/>
    <col min="6404" max="6404" width="33.44140625" style="23" customWidth="1"/>
    <col min="6405" max="6405" width="12.6640625" style="23" customWidth="1"/>
    <col min="6406" max="6406" width="5.6640625" style="23" customWidth="1"/>
    <col min="6407" max="6407" width="12.6640625" style="23" customWidth="1"/>
    <col min="6408" max="6408" width="5.6640625" style="23" customWidth="1"/>
    <col min="6409" max="6409" width="12.6640625" style="23" customWidth="1"/>
    <col min="6410" max="6410" width="5.6640625" style="23" customWidth="1"/>
    <col min="6411" max="6413" width="12.6640625" style="23" customWidth="1"/>
    <col min="6414" max="6415" width="5.6640625" style="23" customWidth="1"/>
    <col min="6416" max="6416" width="5.44140625" style="23" customWidth="1"/>
    <col min="6417" max="6419" width="5.5546875" style="23" customWidth="1"/>
    <col min="6420" max="6420" width="5.44140625" style="23" customWidth="1"/>
    <col min="6421" max="6421" width="4.88671875" style="23" customWidth="1"/>
    <col min="6422" max="6658" width="8.88671875" style="23"/>
    <col min="6659" max="6659" width="4.109375" style="23" customWidth="1"/>
    <col min="6660" max="6660" width="33.44140625" style="23" customWidth="1"/>
    <col min="6661" max="6661" width="12.6640625" style="23" customWidth="1"/>
    <col min="6662" max="6662" width="5.6640625" style="23" customWidth="1"/>
    <col min="6663" max="6663" width="12.6640625" style="23" customWidth="1"/>
    <col min="6664" max="6664" width="5.6640625" style="23" customWidth="1"/>
    <col min="6665" max="6665" width="12.6640625" style="23" customWidth="1"/>
    <col min="6666" max="6666" width="5.6640625" style="23" customWidth="1"/>
    <col min="6667" max="6669" width="12.6640625" style="23" customWidth="1"/>
    <col min="6670" max="6671" width="5.6640625" style="23" customWidth="1"/>
    <col min="6672" max="6672" width="5.44140625" style="23" customWidth="1"/>
    <col min="6673" max="6675" width="5.5546875" style="23" customWidth="1"/>
    <col min="6676" max="6676" width="5.44140625" style="23" customWidth="1"/>
    <col min="6677" max="6677" width="4.88671875" style="23" customWidth="1"/>
    <col min="6678" max="6914" width="8.88671875" style="23"/>
    <col min="6915" max="6915" width="4.109375" style="23" customWidth="1"/>
    <col min="6916" max="6916" width="33.44140625" style="23" customWidth="1"/>
    <col min="6917" max="6917" width="12.6640625" style="23" customWidth="1"/>
    <col min="6918" max="6918" width="5.6640625" style="23" customWidth="1"/>
    <col min="6919" max="6919" width="12.6640625" style="23" customWidth="1"/>
    <col min="6920" max="6920" width="5.6640625" style="23" customWidth="1"/>
    <col min="6921" max="6921" width="12.6640625" style="23" customWidth="1"/>
    <col min="6922" max="6922" width="5.6640625" style="23" customWidth="1"/>
    <col min="6923" max="6925" width="12.6640625" style="23" customWidth="1"/>
    <col min="6926" max="6927" width="5.6640625" style="23" customWidth="1"/>
    <col min="6928" max="6928" width="5.44140625" style="23" customWidth="1"/>
    <col min="6929" max="6931" width="5.5546875" style="23" customWidth="1"/>
    <col min="6932" max="6932" width="5.44140625" style="23" customWidth="1"/>
    <col min="6933" max="6933" width="4.88671875" style="23" customWidth="1"/>
    <col min="6934" max="7170" width="8.88671875" style="23"/>
    <col min="7171" max="7171" width="4.109375" style="23" customWidth="1"/>
    <col min="7172" max="7172" width="33.44140625" style="23" customWidth="1"/>
    <col min="7173" max="7173" width="12.6640625" style="23" customWidth="1"/>
    <col min="7174" max="7174" width="5.6640625" style="23" customWidth="1"/>
    <col min="7175" max="7175" width="12.6640625" style="23" customWidth="1"/>
    <col min="7176" max="7176" width="5.6640625" style="23" customWidth="1"/>
    <col min="7177" max="7177" width="12.6640625" style="23" customWidth="1"/>
    <col min="7178" max="7178" width="5.6640625" style="23" customWidth="1"/>
    <col min="7179" max="7181" width="12.6640625" style="23" customWidth="1"/>
    <col min="7182" max="7183" width="5.6640625" style="23" customWidth="1"/>
    <col min="7184" max="7184" width="5.44140625" style="23" customWidth="1"/>
    <col min="7185" max="7187" width="5.5546875" style="23" customWidth="1"/>
    <col min="7188" max="7188" width="5.44140625" style="23" customWidth="1"/>
    <col min="7189" max="7189" width="4.88671875" style="23" customWidth="1"/>
    <col min="7190" max="7426" width="8.88671875" style="23"/>
    <col min="7427" max="7427" width="4.109375" style="23" customWidth="1"/>
    <col min="7428" max="7428" width="33.44140625" style="23" customWidth="1"/>
    <col min="7429" max="7429" width="12.6640625" style="23" customWidth="1"/>
    <col min="7430" max="7430" width="5.6640625" style="23" customWidth="1"/>
    <col min="7431" max="7431" width="12.6640625" style="23" customWidth="1"/>
    <col min="7432" max="7432" width="5.6640625" style="23" customWidth="1"/>
    <col min="7433" max="7433" width="12.6640625" style="23" customWidth="1"/>
    <col min="7434" max="7434" width="5.6640625" style="23" customWidth="1"/>
    <col min="7435" max="7437" width="12.6640625" style="23" customWidth="1"/>
    <col min="7438" max="7439" width="5.6640625" style="23" customWidth="1"/>
    <col min="7440" max="7440" width="5.44140625" style="23" customWidth="1"/>
    <col min="7441" max="7443" width="5.5546875" style="23" customWidth="1"/>
    <col min="7444" max="7444" width="5.44140625" style="23" customWidth="1"/>
    <col min="7445" max="7445" width="4.88671875" style="23" customWidth="1"/>
    <col min="7446" max="7682" width="8.88671875" style="23"/>
    <col min="7683" max="7683" width="4.109375" style="23" customWidth="1"/>
    <col min="7684" max="7684" width="33.44140625" style="23" customWidth="1"/>
    <col min="7685" max="7685" width="12.6640625" style="23" customWidth="1"/>
    <col min="7686" max="7686" width="5.6640625" style="23" customWidth="1"/>
    <col min="7687" max="7687" width="12.6640625" style="23" customWidth="1"/>
    <col min="7688" max="7688" width="5.6640625" style="23" customWidth="1"/>
    <col min="7689" max="7689" width="12.6640625" style="23" customWidth="1"/>
    <col min="7690" max="7690" width="5.6640625" style="23" customWidth="1"/>
    <col min="7691" max="7693" width="12.6640625" style="23" customWidth="1"/>
    <col min="7694" max="7695" width="5.6640625" style="23" customWidth="1"/>
    <col min="7696" max="7696" width="5.44140625" style="23" customWidth="1"/>
    <col min="7697" max="7699" width="5.5546875" style="23" customWidth="1"/>
    <col min="7700" max="7700" width="5.44140625" style="23" customWidth="1"/>
    <col min="7701" max="7701" width="4.88671875" style="23" customWidth="1"/>
    <col min="7702" max="7938" width="8.88671875" style="23"/>
    <col min="7939" max="7939" width="4.109375" style="23" customWidth="1"/>
    <col min="7940" max="7940" width="33.44140625" style="23" customWidth="1"/>
    <col min="7941" max="7941" width="12.6640625" style="23" customWidth="1"/>
    <col min="7942" max="7942" width="5.6640625" style="23" customWidth="1"/>
    <col min="7943" max="7943" width="12.6640625" style="23" customWidth="1"/>
    <col min="7944" max="7944" width="5.6640625" style="23" customWidth="1"/>
    <col min="7945" max="7945" width="12.6640625" style="23" customWidth="1"/>
    <col min="7946" max="7946" width="5.6640625" style="23" customWidth="1"/>
    <col min="7947" max="7949" width="12.6640625" style="23" customWidth="1"/>
    <col min="7950" max="7951" width="5.6640625" style="23" customWidth="1"/>
    <col min="7952" max="7952" width="5.44140625" style="23" customWidth="1"/>
    <col min="7953" max="7955" width="5.5546875" style="23" customWidth="1"/>
    <col min="7956" max="7956" width="5.44140625" style="23" customWidth="1"/>
    <col min="7957" max="7957" width="4.88671875" style="23" customWidth="1"/>
    <col min="7958" max="8194" width="8.88671875" style="23"/>
    <col min="8195" max="8195" width="4.109375" style="23" customWidth="1"/>
    <col min="8196" max="8196" width="33.44140625" style="23" customWidth="1"/>
    <col min="8197" max="8197" width="12.6640625" style="23" customWidth="1"/>
    <col min="8198" max="8198" width="5.6640625" style="23" customWidth="1"/>
    <col min="8199" max="8199" width="12.6640625" style="23" customWidth="1"/>
    <col min="8200" max="8200" width="5.6640625" style="23" customWidth="1"/>
    <col min="8201" max="8201" width="12.6640625" style="23" customWidth="1"/>
    <col min="8202" max="8202" width="5.6640625" style="23" customWidth="1"/>
    <col min="8203" max="8205" width="12.6640625" style="23" customWidth="1"/>
    <col min="8206" max="8207" width="5.6640625" style="23" customWidth="1"/>
    <col min="8208" max="8208" width="5.44140625" style="23" customWidth="1"/>
    <col min="8209" max="8211" width="5.5546875" style="23" customWidth="1"/>
    <col min="8212" max="8212" width="5.44140625" style="23" customWidth="1"/>
    <col min="8213" max="8213" width="4.88671875" style="23" customWidth="1"/>
    <col min="8214" max="8450" width="8.88671875" style="23"/>
    <col min="8451" max="8451" width="4.109375" style="23" customWidth="1"/>
    <col min="8452" max="8452" width="33.44140625" style="23" customWidth="1"/>
    <col min="8453" max="8453" width="12.6640625" style="23" customWidth="1"/>
    <col min="8454" max="8454" width="5.6640625" style="23" customWidth="1"/>
    <col min="8455" max="8455" width="12.6640625" style="23" customWidth="1"/>
    <col min="8456" max="8456" width="5.6640625" style="23" customWidth="1"/>
    <col min="8457" max="8457" width="12.6640625" style="23" customWidth="1"/>
    <col min="8458" max="8458" width="5.6640625" style="23" customWidth="1"/>
    <col min="8459" max="8461" width="12.6640625" style="23" customWidth="1"/>
    <col min="8462" max="8463" width="5.6640625" style="23" customWidth="1"/>
    <col min="8464" max="8464" width="5.44140625" style="23" customWidth="1"/>
    <col min="8465" max="8467" width="5.5546875" style="23" customWidth="1"/>
    <col min="8468" max="8468" width="5.44140625" style="23" customWidth="1"/>
    <col min="8469" max="8469" width="4.88671875" style="23" customWidth="1"/>
    <col min="8470" max="8706" width="8.88671875" style="23"/>
    <col min="8707" max="8707" width="4.109375" style="23" customWidth="1"/>
    <col min="8708" max="8708" width="33.44140625" style="23" customWidth="1"/>
    <col min="8709" max="8709" width="12.6640625" style="23" customWidth="1"/>
    <col min="8710" max="8710" width="5.6640625" style="23" customWidth="1"/>
    <col min="8711" max="8711" width="12.6640625" style="23" customWidth="1"/>
    <col min="8712" max="8712" width="5.6640625" style="23" customWidth="1"/>
    <col min="8713" max="8713" width="12.6640625" style="23" customWidth="1"/>
    <col min="8714" max="8714" width="5.6640625" style="23" customWidth="1"/>
    <col min="8715" max="8717" width="12.6640625" style="23" customWidth="1"/>
    <col min="8718" max="8719" width="5.6640625" style="23" customWidth="1"/>
    <col min="8720" max="8720" width="5.44140625" style="23" customWidth="1"/>
    <col min="8721" max="8723" width="5.5546875" style="23" customWidth="1"/>
    <col min="8724" max="8724" width="5.44140625" style="23" customWidth="1"/>
    <col min="8725" max="8725" width="4.88671875" style="23" customWidth="1"/>
    <col min="8726" max="8962" width="8.88671875" style="23"/>
    <col min="8963" max="8963" width="4.109375" style="23" customWidth="1"/>
    <col min="8964" max="8964" width="33.44140625" style="23" customWidth="1"/>
    <col min="8965" max="8965" width="12.6640625" style="23" customWidth="1"/>
    <col min="8966" max="8966" width="5.6640625" style="23" customWidth="1"/>
    <col min="8967" max="8967" width="12.6640625" style="23" customWidth="1"/>
    <col min="8968" max="8968" width="5.6640625" style="23" customWidth="1"/>
    <col min="8969" max="8969" width="12.6640625" style="23" customWidth="1"/>
    <col min="8970" max="8970" width="5.6640625" style="23" customWidth="1"/>
    <col min="8971" max="8973" width="12.6640625" style="23" customWidth="1"/>
    <col min="8974" max="8975" width="5.6640625" style="23" customWidth="1"/>
    <col min="8976" max="8976" width="5.44140625" style="23" customWidth="1"/>
    <col min="8977" max="8979" width="5.5546875" style="23" customWidth="1"/>
    <col min="8980" max="8980" width="5.44140625" style="23" customWidth="1"/>
    <col min="8981" max="8981" width="4.88671875" style="23" customWidth="1"/>
    <col min="8982" max="9218" width="8.88671875" style="23"/>
    <col min="9219" max="9219" width="4.109375" style="23" customWidth="1"/>
    <col min="9220" max="9220" width="33.44140625" style="23" customWidth="1"/>
    <col min="9221" max="9221" width="12.6640625" style="23" customWidth="1"/>
    <col min="9222" max="9222" width="5.6640625" style="23" customWidth="1"/>
    <col min="9223" max="9223" width="12.6640625" style="23" customWidth="1"/>
    <col min="9224" max="9224" width="5.6640625" style="23" customWidth="1"/>
    <col min="9225" max="9225" width="12.6640625" style="23" customWidth="1"/>
    <col min="9226" max="9226" width="5.6640625" style="23" customWidth="1"/>
    <col min="9227" max="9229" width="12.6640625" style="23" customWidth="1"/>
    <col min="9230" max="9231" width="5.6640625" style="23" customWidth="1"/>
    <col min="9232" max="9232" width="5.44140625" style="23" customWidth="1"/>
    <col min="9233" max="9235" width="5.5546875" style="23" customWidth="1"/>
    <col min="9236" max="9236" width="5.44140625" style="23" customWidth="1"/>
    <col min="9237" max="9237" width="4.88671875" style="23" customWidth="1"/>
    <col min="9238" max="9474" width="8.88671875" style="23"/>
    <col min="9475" max="9475" width="4.109375" style="23" customWidth="1"/>
    <col min="9476" max="9476" width="33.44140625" style="23" customWidth="1"/>
    <col min="9477" max="9477" width="12.6640625" style="23" customWidth="1"/>
    <col min="9478" max="9478" width="5.6640625" style="23" customWidth="1"/>
    <col min="9479" max="9479" width="12.6640625" style="23" customWidth="1"/>
    <col min="9480" max="9480" width="5.6640625" style="23" customWidth="1"/>
    <col min="9481" max="9481" width="12.6640625" style="23" customWidth="1"/>
    <col min="9482" max="9482" width="5.6640625" style="23" customWidth="1"/>
    <col min="9483" max="9485" width="12.6640625" style="23" customWidth="1"/>
    <col min="9486" max="9487" width="5.6640625" style="23" customWidth="1"/>
    <col min="9488" max="9488" width="5.44140625" style="23" customWidth="1"/>
    <col min="9489" max="9491" width="5.5546875" style="23" customWidth="1"/>
    <col min="9492" max="9492" width="5.44140625" style="23" customWidth="1"/>
    <col min="9493" max="9493" width="4.88671875" style="23" customWidth="1"/>
    <col min="9494" max="9730" width="8.88671875" style="23"/>
    <col min="9731" max="9731" width="4.109375" style="23" customWidth="1"/>
    <col min="9732" max="9732" width="33.44140625" style="23" customWidth="1"/>
    <col min="9733" max="9733" width="12.6640625" style="23" customWidth="1"/>
    <col min="9734" max="9734" width="5.6640625" style="23" customWidth="1"/>
    <col min="9735" max="9735" width="12.6640625" style="23" customWidth="1"/>
    <col min="9736" max="9736" width="5.6640625" style="23" customWidth="1"/>
    <col min="9737" max="9737" width="12.6640625" style="23" customWidth="1"/>
    <col min="9738" max="9738" width="5.6640625" style="23" customWidth="1"/>
    <col min="9739" max="9741" width="12.6640625" style="23" customWidth="1"/>
    <col min="9742" max="9743" width="5.6640625" style="23" customWidth="1"/>
    <col min="9744" max="9744" width="5.44140625" style="23" customWidth="1"/>
    <col min="9745" max="9747" width="5.5546875" style="23" customWidth="1"/>
    <col min="9748" max="9748" width="5.44140625" style="23" customWidth="1"/>
    <col min="9749" max="9749" width="4.88671875" style="23" customWidth="1"/>
    <col min="9750" max="9986" width="8.88671875" style="23"/>
    <col min="9987" max="9987" width="4.109375" style="23" customWidth="1"/>
    <col min="9988" max="9988" width="33.44140625" style="23" customWidth="1"/>
    <col min="9989" max="9989" width="12.6640625" style="23" customWidth="1"/>
    <col min="9990" max="9990" width="5.6640625" style="23" customWidth="1"/>
    <col min="9991" max="9991" width="12.6640625" style="23" customWidth="1"/>
    <col min="9992" max="9992" width="5.6640625" style="23" customWidth="1"/>
    <col min="9993" max="9993" width="12.6640625" style="23" customWidth="1"/>
    <col min="9994" max="9994" width="5.6640625" style="23" customWidth="1"/>
    <col min="9995" max="9997" width="12.6640625" style="23" customWidth="1"/>
    <col min="9998" max="9999" width="5.6640625" style="23" customWidth="1"/>
    <col min="10000" max="10000" width="5.44140625" style="23" customWidth="1"/>
    <col min="10001" max="10003" width="5.5546875" style="23" customWidth="1"/>
    <col min="10004" max="10004" width="5.44140625" style="23" customWidth="1"/>
    <col min="10005" max="10005" width="4.88671875" style="23" customWidth="1"/>
    <col min="10006" max="10242" width="8.88671875" style="23"/>
    <col min="10243" max="10243" width="4.109375" style="23" customWidth="1"/>
    <col min="10244" max="10244" width="33.44140625" style="23" customWidth="1"/>
    <col min="10245" max="10245" width="12.6640625" style="23" customWidth="1"/>
    <col min="10246" max="10246" width="5.6640625" style="23" customWidth="1"/>
    <col min="10247" max="10247" width="12.6640625" style="23" customWidth="1"/>
    <col min="10248" max="10248" width="5.6640625" style="23" customWidth="1"/>
    <col min="10249" max="10249" width="12.6640625" style="23" customWidth="1"/>
    <col min="10250" max="10250" width="5.6640625" style="23" customWidth="1"/>
    <col min="10251" max="10253" width="12.6640625" style="23" customWidth="1"/>
    <col min="10254" max="10255" width="5.6640625" style="23" customWidth="1"/>
    <col min="10256" max="10256" width="5.44140625" style="23" customWidth="1"/>
    <col min="10257" max="10259" width="5.5546875" style="23" customWidth="1"/>
    <col min="10260" max="10260" width="5.44140625" style="23" customWidth="1"/>
    <col min="10261" max="10261" width="4.88671875" style="23" customWidth="1"/>
    <col min="10262" max="10498" width="8.88671875" style="23"/>
    <col min="10499" max="10499" width="4.109375" style="23" customWidth="1"/>
    <col min="10500" max="10500" width="33.44140625" style="23" customWidth="1"/>
    <col min="10501" max="10501" width="12.6640625" style="23" customWidth="1"/>
    <col min="10502" max="10502" width="5.6640625" style="23" customWidth="1"/>
    <col min="10503" max="10503" width="12.6640625" style="23" customWidth="1"/>
    <col min="10504" max="10504" width="5.6640625" style="23" customWidth="1"/>
    <col min="10505" max="10505" width="12.6640625" style="23" customWidth="1"/>
    <col min="10506" max="10506" width="5.6640625" style="23" customWidth="1"/>
    <col min="10507" max="10509" width="12.6640625" style="23" customWidth="1"/>
    <col min="10510" max="10511" width="5.6640625" style="23" customWidth="1"/>
    <col min="10512" max="10512" width="5.44140625" style="23" customWidth="1"/>
    <col min="10513" max="10515" width="5.5546875" style="23" customWidth="1"/>
    <col min="10516" max="10516" width="5.44140625" style="23" customWidth="1"/>
    <col min="10517" max="10517" width="4.88671875" style="23" customWidth="1"/>
    <col min="10518" max="10754" width="8.88671875" style="23"/>
    <col min="10755" max="10755" width="4.109375" style="23" customWidth="1"/>
    <col min="10756" max="10756" width="33.44140625" style="23" customWidth="1"/>
    <col min="10757" max="10757" width="12.6640625" style="23" customWidth="1"/>
    <col min="10758" max="10758" width="5.6640625" style="23" customWidth="1"/>
    <col min="10759" max="10759" width="12.6640625" style="23" customWidth="1"/>
    <col min="10760" max="10760" width="5.6640625" style="23" customWidth="1"/>
    <col min="10761" max="10761" width="12.6640625" style="23" customWidth="1"/>
    <col min="10762" max="10762" width="5.6640625" style="23" customWidth="1"/>
    <col min="10763" max="10765" width="12.6640625" style="23" customWidth="1"/>
    <col min="10766" max="10767" width="5.6640625" style="23" customWidth="1"/>
    <col min="10768" max="10768" width="5.44140625" style="23" customWidth="1"/>
    <col min="10769" max="10771" width="5.5546875" style="23" customWidth="1"/>
    <col min="10772" max="10772" width="5.44140625" style="23" customWidth="1"/>
    <col min="10773" max="10773" width="4.88671875" style="23" customWidth="1"/>
    <col min="10774" max="11010" width="8.88671875" style="23"/>
    <col min="11011" max="11011" width="4.109375" style="23" customWidth="1"/>
    <col min="11012" max="11012" width="33.44140625" style="23" customWidth="1"/>
    <col min="11013" max="11013" width="12.6640625" style="23" customWidth="1"/>
    <col min="11014" max="11014" width="5.6640625" style="23" customWidth="1"/>
    <col min="11015" max="11015" width="12.6640625" style="23" customWidth="1"/>
    <col min="11016" max="11016" width="5.6640625" style="23" customWidth="1"/>
    <col min="11017" max="11017" width="12.6640625" style="23" customWidth="1"/>
    <col min="11018" max="11018" width="5.6640625" style="23" customWidth="1"/>
    <col min="11019" max="11021" width="12.6640625" style="23" customWidth="1"/>
    <col min="11022" max="11023" width="5.6640625" style="23" customWidth="1"/>
    <col min="11024" max="11024" width="5.44140625" style="23" customWidth="1"/>
    <col min="11025" max="11027" width="5.5546875" style="23" customWidth="1"/>
    <col min="11028" max="11028" width="5.44140625" style="23" customWidth="1"/>
    <col min="11029" max="11029" width="4.88671875" style="23" customWidth="1"/>
    <col min="11030" max="11266" width="8.88671875" style="23"/>
    <col min="11267" max="11267" width="4.109375" style="23" customWidth="1"/>
    <col min="11268" max="11268" width="33.44140625" style="23" customWidth="1"/>
    <col min="11269" max="11269" width="12.6640625" style="23" customWidth="1"/>
    <col min="11270" max="11270" width="5.6640625" style="23" customWidth="1"/>
    <col min="11271" max="11271" width="12.6640625" style="23" customWidth="1"/>
    <col min="11272" max="11272" width="5.6640625" style="23" customWidth="1"/>
    <col min="11273" max="11273" width="12.6640625" style="23" customWidth="1"/>
    <col min="11274" max="11274" width="5.6640625" style="23" customWidth="1"/>
    <col min="11275" max="11277" width="12.6640625" style="23" customWidth="1"/>
    <col min="11278" max="11279" width="5.6640625" style="23" customWidth="1"/>
    <col min="11280" max="11280" width="5.44140625" style="23" customWidth="1"/>
    <col min="11281" max="11283" width="5.5546875" style="23" customWidth="1"/>
    <col min="11284" max="11284" width="5.44140625" style="23" customWidth="1"/>
    <col min="11285" max="11285" width="4.88671875" style="23" customWidth="1"/>
    <col min="11286" max="11522" width="8.88671875" style="23"/>
    <col min="11523" max="11523" width="4.109375" style="23" customWidth="1"/>
    <col min="11524" max="11524" width="33.44140625" style="23" customWidth="1"/>
    <col min="11525" max="11525" width="12.6640625" style="23" customWidth="1"/>
    <col min="11526" max="11526" width="5.6640625" style="23" customWidth="1"/>
    <col min="11527" max="11527" width="12.6640625" style="23" customWidth="1"/>
    <col min="11528" max="11528" width="5.6640625" style="23" customWidth="1"/>
    <col min="11529" max="11529" width="12.6640625" style="23" customWidth="1"/>
    <col min="11530" max="11530" width="5.6640625" style="23" customWidth="1"/>
    <col min="11531" max="11533" width="12.6640625" style="23" customWidth="1"/>
    <col min="11534" max="11535" width="5.6640625" style="23" customWidth="1"/>
    <col min="11536" max="11536" width="5.44140625" style="23" customWidth="1"/>
    <col min="11537" max="11539" width="5.5546875" style="23" customWidth="1"/>
    <col min="11540" max="11540" width="5.44140625" style="23" customWidth="1"/>
    <col min="11541" max="11541" width="4.88671875" style="23" customWidth="1"/>
    <col min="11542" max="11778" width="8.88671875" style="23"/>
    <col min="11779" max="11779" width="4.109375" style="23" customWidth="1"/>
    <col min="11780" max="11780" width="33.44140625" style="23" customWidth="1"/>
    <col min="11781" max="11781" width="12.6640625" style="23" customWidth="1"/>
    <col min="11782" max="11782" width="5.6640625" style="23" customWidth="1"/>
    <col min="11783" max="11783" width="12.6640625" style="23" customWidth="1"/>
    <col min="11784" max="11784" width="5.6640625" style="23" customWidth="1"/>
    <col min="11785" max="11785" width="12.6640625" style="23" customWidth="1"/>
    <col min="11786" max="11786" width="5.6640625" style="23" customWidth="1"/>
    <col min="11787" max="11789" width="12.6640625" style="23" customWidth="1"/>
    <col min="11790" max="11791" width="5.6640625" style="23" customWidth="1"/>
    <col min="11792" max="11792" width="5.44140625" style="23" customWidth="1"/>
    <col min="11793" max="11795" width="5.5546875" style="23" customWidth="1"/>
    <col min="11796" max="11796" width="5.44140625" style="23" customWidth="1"/>
    <col min="11797" max="11797" width="4.88671875" style="23" customWidth="1"/>
    <col min="11798" max="12034" width="8.88671875" style="23"/>
    <col min="12035" max="12035" width="4.109375" style="23" customWidth="1"/>
    <col min="12036" max="12036" width="33.44140625" style="23" customWidth="1"/>
    <col min="12037" max="12037" width="12.6640625" style="23" customWidth="1"/>
    <col min="12038" max="12038" width="5.6640625" style="23" customWidth="1"/>
    <col min="12039" max="12039" width="12.6640625" style="23" customWidth="1"/>
    <col min="12040" max="12040" width="5.6640625" style="23" customWidth="1"/>
    <col min="12041" max="12041" width="12.6640625" style="23" customWidth="1"/>
    <col min="12042" max="12042" width="5.6640625" style="23" customWidth="1"/>
    <col min="12043" max="12045" width="12.6640625" style="23" customWidth="1"/>
    <col min="12046" max="12047" width="5.6640625" style="23" customWidth="1"/>
    <col min="12048" max="12048" width="5.44140625" style="23" customWidth="1"/>
    <col min="12049" max="12051" width="5.5546875" style="23" customWidth="1"/>
    <col min="12052" max="12052" width="5.44140625" style="23" customWidth="1"/>
    <col min="12053" max="12053" width="4.88671875" style="23" customWidth="1"/>
    <col min="12054" max="12290" width="8.88671875" style="23"/>
    <col min="12291" max="12291" width="4.109375" style="23" customWidth="1"/>
    <col min="12292" max="12292" width="33.44140625" style="23" customWidth="1"/>
    <col min="12293" max="12293" width="12.6640625" style="23" customWidth="1"/>
    <col min="12294" max="12294" width="5.6640625" style="23" customWidth="1"/>
    <col min="12295" max="12295" width="12.6640625" style="23" customWidth="1"/>
    <col min="12296" max="12296" width="5.6640625" style="23" customWidth="1"/>
    <col min="12297" max="12297" width="12.6640625" style="23" customWidth="1"/>
    <col min="12298" max="12298" width="5.6640625" style="23" customWidth="1"/>
    <col min="12299" max="12301" width="12.6640625" style="23" customWidth="1"/>
    <col min="12302" max="12303" width="5.6640625" style="23" customWidth="1"/>
    <col min="12304" max="12304" width="5.44140625" style="23" customWidth="1"/>
    <col min="12305" max="12307" width="5.5546875" style="23" customWidth="1"/>
    <col min="12308" max="12308" width="5.44140625" style="23" customWidth="1"/>
    <col min="12309" max="12309" width="4.88671875" style="23" customWidth="1"/>
    <col min="12310" max="12546" width="8.88671875" style="23"/>
    <col min="12547" max="12547" width="4.109375" style="23" customWidth="1"/>
    <col min="12548" max="12548" width="33.44140625" style="23" customWidth="1"/>
    <col min="12549" max="12549" width="12.6640625" style="23" customWidth="1"/>
    <col min="12550" max="12550" width="5.6640625" style="23" customWidth="1"/>
    <col min="12551" max="12551" width="12.6640625" style="23" customWidth="1"/>
    <col min="12552" max="12552" width="5.6640625" style="23" customWidth="1"/>
    <col min="12553" max="12553" width="12.6640625" style="23" customWidth="1"/>
    <col min="12554" max="12554" width="5.6640625" style="23" customWidth="1"/>
    <col min="12555" max="12557" width="12.6640625" style="23" customWidth="1"/>
    <col min="12558" max="12559" width="5.6640625" style="23" customWidth="1"/>
    <col min="12560" max="12560" width="5.44140625" style="23" customWidth="1"/>
    <col min="12561" max="12563" width="5.5546875" style="23" customWidth="1"/>
    <col min="12564" max="12564" width="5.44140625" style="23" customWidth="1"/>
    <col min="12565" max="12565" width="4.88671875" style="23" customWidth="1"/>
    <col min="12566" max="12802" width="8.88671875" style="23"/>
    <col min="12803" max="12803" width="4.109375" style="23" customWidth="1"/>
    <col min="12804" max="12804" width="33.44140625" style="23" customWidth="1"/>
    <col min="12805" max="12805" width="12.6640625" style="23" customWidth="1"/>
    <col min="12806" max="12806" width="5.6640625" style="23" customWidth="1"/>
    <col min="12807" max="12807" width="12.6640625" style="23" customWidth="1"/>
    <col min="12808" max="12808" width="5.6640625" style="23" customWidth="1"/>
    <col min="12809" max="12809" width="12.6640625" style="23" customWidth="1"/>
    <col min="12810" max="12810" width="5.6640625" style="23" customWidth="1"/>
    <col min="12811" max="12813" width="12.6640625" style="23" customWidth="1"/>
    <col min="12814" max="12815" width="5.6640625" style="23" customWidth="1"/>
    <col min="12816" max="12816" width="5.44140625" style="23" customWidth="1"/>
    <col min="12817" max="12819" width="5.5546875" style="23" customWidth="1"/>
    <col min="12820" max="12820" width="5.44140625" style="23" customWidth="1"/>
    <col min="12821" max="12821" width="4.88671875" style="23" customWidth="1"/>
    <col min="12822" max="13058" width="8.88671875" style="23"/>
    <col min="13059" max="13059" width="4.109375" style="23" customWidth="1"/>
    <col min="13060" max="13060" width="33.44140625" style="23" customWidth="1"/>
    <col min="13061" max="13061" width="12.6640625" style="23" customWidth="1"/>
    <col min="13062" max="13062" width="5.6640625" style="23" customWidth="1"/>
    <col min="13063" max="13063" width="12.6640625" style="23" customWidth="1"/>
    <col min="13064" max="13064" width="5.6640625" style="23" customWidth="1"/>
    <col min="13065" max="13065" width="12.6640625" style="23" customWidth="1"/>
    <col min="13066" max="13066" width="5.6640625" style="23" customWidth="1"/>
    <col min="13067" max="13069" width="12.6640625" style="23" customWidth="1"/>
    <col min="13070" max="13071" width="5.6640625" style="23" customWidth="1"/>
    <col min="13072" max="13072" width="5.44140625" style="23" customWidth="1"/>
    <col min="13073" max="13075" width="5.5546875" style="23" customWidth="1"/>
    <col min="13076" max="13076" width="5.44140625" style="23" customWidth="1"/>
    <col min="13077" max="13077" width="4.88671875" style="23" customWidth="1"/>
    <col min="13078" max="13314" width="8.88671875" style="23"/>
    <col min="13315" max="13315" width="4.109375" style="23" customWidth="1"/>
    <col min="13316" max="13316" width="33.44140625" style="23" customWidth="1"/>
    <col min="13317" max="13317" width="12.6640625" style="23" customWidth="1"/>
    <col min="13318" max="13318" width="5.6640625" style="23" customWidth="1"/>
    <col min="13319" max="13319" width="12.6640625" style="23" customWidth="1"/>
    <col min="13320" max="13320" width="5.6640625" style="23" customWidth="1"/>
    <col min="13321" max="13321" width="12.6640625" style="23" customWidth="1"/>
    <col min="13322" max="13322" width="5.6640625" style="23" customWidth="1"/>
    <col min="13323" max="13325" width="12.6640625" style="23" customWidth="1"/>
    <col min="13326" max="13327" width="5.6640625" style="23" customWidth="1"/>
    <col min="13328" max="13328" width="5.44140625" style="23" customWidth="1"/>
    <col min="13329" max="13331" width="5.5546875" style="23" customWidth="1"/>
    <col min="13332" max="13332" width="5.44140625" style="23" customWidth="1"/>
    <col min="13333" max="13333" width="4.88671875" style="23" customWidth="1"/>
    <col min="13334" max="13570" width="8.88671875" style="23"/>
    <col min="13571" max="13571" width="4.109375" style="23" customWidth="1"/>
    <col min="13572" max="13572" width="33.44140625" style="23" customWidth="1"/>
    <col min="13573" max="13573" width="12.6640625" style="23" customWidth="1"/>
    <col min="13574" max="13574" width="5.6640625" style="23" customWidth="1"/>
    <col min="13575" max="13575" width="12.6640625" style="23" customWidth="1"/>
    <col min="13576" max="13576" width="5.6640625" style="23" customWidth="1"/>
    <col min="13577" max="13577" width="12.6640625" style="23" customWidth="1"/>
    <col min="13578" max="13578" width="5.6640625" style="23" customWidth="1"/>
    <col min="13579" max="13581" width="12.6640625" style="23" customWidth="1"/>
    <col min="13582" max="13583" width="5.6640625" style="23" customWidth="1"/>
    <col min="13584" max="13584" width="5.44140625" style="23" customWidth="1"/>
    <col min="13585" max="13587" width="5.5546875" style="23" customWidth="1"/>
    <col min="13588" max="13588" width="5.44140625" style="23" customWidth="1"/>
    <col min="13589" max="13589" width="4.88671875" style="23" customWidth="1"/>
    <col min="13590" max="13826" width="8.88671875" style="23"/>
    <col min="13827" max="13827" width="4.109375" style="23" customWidth="1"/>
    <col min="13828" max="13828" width="33.44140625" style="23" customWidth="1"/>
    <col min="13829" max="13829" width="12.6640625" style="23" customWidth="1"/>
    <col min="13830" max="13830" width="5.6640625" style="23" customWidth="1"/>
    <col min="13831" max="13831" width="12.6640625" style="23" customWidth="1"/>
    <col min="13832" max="13832" width="5.6640625" style="23" customWidth="1"/>
    <col min="13833" max="13833" width="12.6640625" style="23" customWidth="1"/>
    <col min="13834" max="13834" width="5.6640625" style="23" customWidth="1"/>
    <col min="13835" max="13837" width="12.6640625" style="23" customWidth="1"/>
    <col min="13838" max="13839" width="5.6640625" style="23" customWidth="1"/>
    <col min="13840" max="13840" width="5.44140625" style="23" customWidth="1"/>
    <col min="13841" max="13843" width="5.5546875" style="23" customWidth="1"/>
    <col min="13844" max="13844" width="5.44140625" style="23" customWidth="1"/>
    <col min="13845" max="13845" width="4.88671875" style="23" customWidth="1"/>
    <col min="13846" max="14082" width="8.88671875" style="23"/>
    <col min="14083" max="14083" width="4.109375" style="23" customWidth="1"/>
    <col min="14084" max="14084" width="33.44140625" style="23" customWidth="1"/>
    <col min="14085" max="14085" width="12.6640625" style="23" customWidth="1"/>
    <col min="14086" max="14086" width="5.6640625" style="23" customWidth="1"/>
    <col min="14087" max="14087" width="12.6640625" style="23" customWidth="1"/>
    <col min="14088" max="14088" width="5.6640625" style="23" customWidth="1"/>
    <col min="14089" max="14089" width="12.6640625" style="23" customWidth="1"/>
    <col min="14090" max="14090" width="5.6640625" style="23" customWidth="1"/>
    <col min="14091" max="14093" width="12.6640625" style="23" customWidth="1"/>
    <col min="14094" max="14095" width="5.6640625" style="23" customWidth="1"/>
    <col min="14096" max="14096" width="5.44140625" style="23" customWidth="1"/>
    <col min="14097" max="14099" width="5.5546875" style="23" customWidth="1"/>
    <col min="14100" max="14100" width="5.44140625" style="23" customWidth="1"/>
    <col min="14101" max="14101" width="4.88671875" style="23" customWidth="1"/>
    <col min="14102" max="14338" width="8.88671875" style="23"/>
    <col min="14339" max="14339" width="4.109375" style="23" customWidth="1"/>
    <col min="14340" max="14340" width="33.44140625" style="23" customWidth="1"/>
    <col min="14341" max="14341" width="12.6640625" style="23" customWidth="1"/>
    <col min="14342" max="14342" width="5.6640625" style="23" customWidth="1"/>
    <col min="14343" max="14343" width="12.6640625" style="23" customWidth="1"/>
    <col min="14344" max="14344" width="5.6640625" style="23" customWidth="1"/>
    <col min="14345" max="14345" width="12.6640625" style="23" customWidth="1"/>
    <col min="14346" max="14346" width="5.6640625" style="23" customWidth="1"/>
    <col min="14347" max="14349" width="12.6640625" style="23" customWidth="1"/>
    <col min="14350" max="14351" width="5.6640625" style="23" customWidth="1"/>
    <col min="14352" max="14352" width="5.44140625" style="23" customWidth="1"/>
    <col min="14353" max="14355" width="5.5546875" style="23" customWidth="1"/>
    <col min="14356" max="14356" width="5.44140625" style="23" customWidth="1"/>
    <col min="14357" max="14357" width="4.88671875" style="23" customWidth="1"/>
    <col min="14358" max="14594" width="8.88671875" style="23"/>
    <col min="14595" max="14595" width="4.109375" style="23" customWidth="1"/>
    <col min="14596" max="14596" width="33.44140625" style="23" customWidth="1"/>
    <col min="14597" max="14597" width="12.6640625" style="23" customWidth="1"/>
    <col min="14598" max="14598" width="5.6640625" style="23" customWidth="1"/>
    <col min="14599" max="14599" width="12.6640625" style="23" customWidth="1"/>
    <col min="14600" max="14600" width="5.6640625" style="23" customWidth="1"/>
    <col min="14601" max="14601" width="12.6640625" style="23" customWidth="1"/>
    <col min="14602" max="14602" width="5.6640625" style="23" customWidth="1"/>
    <col min="14603" max="14605" width="12.6640625" style="23" customWidth="1"/>
    <col min="14606" max="14607" width="5.6640625" style="23" customWidth="1"/>
    <col min="14608" max="14608" width="5.44140625" style="23" customWidth="1"/>
    <col min="14609" max="14611" width="5.5546875" style="23" customWidth="1"/>
    <col min="14612" max="14612" width="5.44140625" style="23" customWidth="1"/>
    <col min="14613" max="14613" width="4.88671875" style="23" customWidth="1"/>
    <col min="14614" max="14850" width="8.88671875" style="23"/>
    <col min="14851" max="14851" width="4.109375" style="23" customWidth="1"/>
    <col min="14852" max="14852" width="33.44140625" style="23" customWidth="1"/>
    <col min="14853" max="14853" width="12.6640625" style="23" customWidth="1"/>
    <col min="14854" max="14854" width="5.6640625" style="23" customWidth="1"/>
    <col min="14855" max="14855" width="12.6640625" style="23" customWidth="1"/>
    <col min="14856" max="14856" width="5.6640625" style="23" customWidth="1"/>
    <col min="14857" max="14857" width="12.6640625" style="23" customWidth="1"/>
    <col min="14858" max="14858" width="5.6640625" style="23" customWidth="1"/>
    <col min="14859" max="14861" width="12.6640625" style="23" customWidth="1"/>
    <col min="14862" max="14863" width="5.6640625" style="23" customWidth="1"/>
    <col min="14864" max="14864" width="5.44140625" style="23" customWidth="1"/>
    <col min="14865" max="14867" width="5.5546875" style="23" customWidth="1"/>
    <col min="14868" max="14868" width="5.44140625" style="23" customWidth="1"/>
    <col min="14869" max="14869" width="4.88671875" style="23" customWidth="1"/>
    <col min="14870" max="15106" width="8.88671875" style="23"/>
    <col min="15107" max="15107" width="4.109375" style="23" customWidth="1"/>
    <col min="15108" max="15108" width="33.44140625" style="23" customWidth="1"/>
    <col min="15109" max="15109" width="12.6640625" style="23" customWidth="1"/>
    <col min="15110" max="15110" width="5.6640625" style="23" customWidth="1"/>
    <col min="15111" max="15111" width="12.6640625" style="23" customWidth="1"/>
    <col min="15112" max="15112" width="5.6640625" style="23" customWidth="1"/>
    <col min="15113" max="15113" width="12.6640625" style="23" customWidth="1"/>
    <col min="15114" max="15114" width="5.6640625" style="23" customWidth="1"/>
    <col min="15115" max="15117" width="12.6640625" style="23" customWidth="1"/>
    <col min="15118" max="15119" width="5.6640625" style="23" customWidth="1"/>
    <col min="15120" max="15120" width="5.44140625" style="23" customWidth="1"/>
    <col min="15121" max="15123" width="5.5546875" style="23" customWidth="1"/>
    <col min="15124" max="15124" width="5.44140625" style="23" customWidth="1"/>
    <col min="15125" max="15125" width="4.88671875" style="23" customWidth="1"/>
    <col min="15126" max="15362" width="8.88671875" style="23"/>
    <col min="15363" max="15363" width="4.109375" style="23" customWidth="1"/>
    <col min="15364" max="15364" width="33.44140625" style="23" customWidth="1"/>
    <col min="15365" max="15365" width="12.6640625" style="23" customWidth="1"/>
    <col min="15366" max="15366" width="5.6640625" style="23" customWidth="1"/>
    <col min="15367" max="15367" width="12.6640625" style="23" customWidth="1"/>
    <col min="15368" max="15368" width="5.6640625" style="23" customWidth="1"/>
    <col min="15369" max="15369" width="12.6640625" style="23" customWidth="1"/>
    <col min="15370" max="15370" width="5.6640625" style="23" customWidth="1"/>
    <col min="15371" max="15373" width="12.6640625" style="23" customWidth="1"/>
    <col min="15374" max="15375" width="5.6640625" style="23" customWidth="1"/>
    <col min="15376" max="15376" width="5.44140625" style="23" customWidth="1"/>
    <col min="15377" max="15379" width="5.5546875" style="23" customWidth="1"/>
    <col min="15380" max="15380" width="5.44140625" style="23" customWidth="1"/>
    <col min="15381" max="15381" width="4.88671875" style="23" customWidth="1"/>
    <col min="15382" max="15618" width="8.88671875" style="23"/>
    <col min="15619" max="15619" width="4.109375" style="23" customWidth="1"/>
    <col min="15620" max="15620" width="33.44140625" style="23" customWidth="1"/>
    <col min="15621" max="15621" width="12.6640625" style="23" customWidth="1"/>
    <col min="15622" max="15622" width="5.6640625" style="23" customWidth="1"/>
    <col min="15623" max="15623" width="12.6640625" style="23" customWidth="1"/>
    <col min="15624" max="15624" width="5.6640625" style="23" customWidth="1"/>
    <col min="15625" max="15625" width="12.6640625" style="23" customWidth="1"/>
    <col min="15626" max="15626" width="5.6640625" style="23" customWidth="1"/>
    <col min="15627" max="15629" width="12.6640625" style="23" customWidth="1"/>
    <col min="15630" max="15631" width="5.6640625" style="23" customWidth="1"/>
    <col min="15632" max="15632" width="5.44140625" style="23" customWidth="1"/>
    <col min="15633" max="15635" width="5.5546875" style="23" customWidth="1"/>
    <col min="15636" max="15636" width="5.44140625" style="23" customWidth="1"/>
    <col min="15637" max="15637" width="4.88671875" style="23" customWidth="1"/>
    <col min="15638" max="15874" width="8.88671875" style="23"/>
    <col min="15875" max="15875" width="4.109375" style="23" customWidth="1"/>
    <col min="15876" max="15876" width="33.44140625" style="23" customWidth="1"/>
    <col min="15877" max="15877" width="12.6640625" style="23" customWidth="1"/>
    <col min="15878" max="15878" width="5.6640625" style="23" customWidth="1"/>
    <col min="15879" max="15879" width="12.6640625" style="23" customWidth="1"/>
    <col min="15880" max="15880" width="5.6640625" style="23" customWidth="1"/>
    <col min="15881" max="15881" width="12.6640625" style="23" customWidth="1"/>
    <col min="15882" max="15882" width="5.6640625" style="23" customWidth="1"/>
    <col min="15883" max="15885" width="12.6640625" style="23" customWidth="1"/>
    <col min="15886" max="15887" width="5.6640625" style="23" customWidth="1"/>
    <col min="15888" max="15888" width="5.44140625" style="23" customWidth="1"/>
    <col min="15889" max="15891" width="5.5546875" style="23" customWidth="1"/>
    <col min="15892" max="15892" width="5.44140625" style="23" customWidth="1"/>
    <col min="15893" max="15893" width="4.88671875" style="23" customWidth="1"/>
    <col min="15894" max="16130" width="8.88671875" style="23"/>
    <col min="16131" max="16131" width="4.109375" style="23" customWidth="1"/>
    <col min="16132" max="16132" width="33.44140625" style="23" customWidth="1"/>
    <col min="16133" max="16133" width="12.6640625" style="23" customWidth="1"/>
    <col min="16134" max="16134" width="5.6640625" style="23" customWidth="1"/>
    <col min="16135" max="16135" width="12.6640625" style="23" customWidth="1"/>
    <col min="16136" max="16136" width="5.6640625" style="23" customWidth="1"/>
    <col min="16137" max="16137" width="12.6640625" style="23" customWidth="1"/>
    <col min="16138" max="16138" width="5.6640625" style="23" customWidth="1"/>
    <col min="16139" max="16141" width="12.6640625" style="23" customWidth="1"/>
    <col min="16142" max="16143" width="5.6640625" style="23" customWidth="1"/>
    <col min="16144" max="16144" width="5.44140625" style="23" customWidth="1"/>
    <col min="16145" max="16147" width="5.5546875" style="23" customWidth="1"/>
    <col min="16148" max="16148" width="5.44140625" style="23" customWidth="1"/>
    <col min="16149" max="16149" width="4.88671875" style="23" customWidth="1"/>
    <col min="16150" max="16384" width="8.88671875" style="23"/>
  </cols>
  <sheetData>
    <row r="1" spans="1:22" x14ac:dyDescent="0.25">
      <c r="A1" s="27"/>
    </row>
    <row r="2" spans="1:22" x14ac:dyDescent="0.25">
      <c r="A2" s="489" t="s">
        <v>207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28"/>
      <c r="S2" s="29"/>
    </row>
    <row r="3" spans="1:22" x14ac:dyDescent="0.25">
      <c r="A3" s="27" t="str">
        <f>'[4]1-Zaposlenost'!$A$1</f>
        <v>Trgovačko društvo: Zagrebački velesajam d.o.o.</v>
      </c>
      <c r="B3" s="30"/>
      <c r="C3" s="147"/>
      <c r="D3" s="30"/>
      <c r="E3" s="30"/>
      <c r="F3" s="30"/>
      <c r="G3" s="30"/>
      <c r="H3" s="30"/>
      <c r="I3" s="30"/>
      <c r="J3" s="30"/>
      <c r="K3" s="30"/>
      <c r="L3" s="30"/>
      <c r="M3" s="490" t="s">
        <v>208</v>
      </c>
      <c r="N3" s="490"/>
      <c r="O3" s="490"/>
      <c r="P3" s="490"/>
      <c r="Q3" s="490"/>
    </row>
    <row r="4" spans="1:22" s="27" customFormat="1" ht="13.95" customHeight="1" x14ac:dyDescent="0.25">
      <c r="A4" s="491" t="s">
        <v>56</v>
      </c>
      <c r="B4" s="494" t="s">
        <v>209</v>
      </c>
      <c r="C4" s="497" t="s">
        <v>312</v>
      </c>
      <c r="D4" s="497"/>
      <c r="E4" s="203"/>
      <c r="F4" s="203"/>
      <c r="G4" s="265"/>
      <c r="H4" s="265"/>
      <c r="I4" s="504" t="s">
        <v>287</v>
      </c>
      <c r="J4" s="487"/>
      <c r="K4" s="487"/>
      <c r="L4" s="487"/>
      <c r="M4" s="487"/>
      <c r="N4" s="488"/>
      <c r="O4" s="499" t="s">
        <v>2</v>
      </c>
      <c r="P4" s="499"/>
      <c r="Q4" s="500"/>
      <c r="R4" s="23"/>
    </row>
    <row r="5" spans="1:22" s="27" customFormat="1" ht="48.6" customHeight="1" x14ac:dyDescent="0.25">
      <c r="A5" s="492"/>
      <c r="B5" s="495"/>
      <c r="C5" s="498"/>
      <c r="D5" s="498"/>
      <c r="E5" s="492" t="s">
        <v>313</v>
      </c>
      <c r="F5" s="503"/>
      <c r="G5" s="502" t="s">
        <v>285</v>
      </c>
      <c r="H5" s="502"/>
      <c r="I5" s="502" t="s">
        <v>314</v>
      </c>
      <c r="J5" s="502"/>
      <c r="K5" s="188" t="s">
        <v>269</v>
      </c>
      <c r="L5" s="189" t="s">
        <v>210</v>
      </c>
      <c r="M5" s="487" t="s">
        <v>211</v>
      </c>
      <c r="N5" s="488"/>
      <c r="O5" s="496"/>
      <c r="P5" s="496"/>
      <c r="Q5" s="501"/>
      <c r="R5" s="23"/>
    </row>
    <row r="6" spans="1:22" s="27" customFormat="1" x14ac:dyDescent="0.3">
      <c r="A6" s="493"/>
      <c r="B6" s="496"/>
      <c r="C6" s="190" t="s">
        <v>212</v>
      </c>
      <c r="D6" s="191" t="s">
        <v>213</v>
      </c>
      <c r="E6" s="190" t="s">
        <v>212</v>
      </c>
      <c r="F6" s="191" t="s">
        <v>213</v>
      </c>
      <c r="G6" s="190" t="s">
        <v>212</v>
      </c>
      <c r="H6" s="191" t="s">
        <v>213</v>
      </c>
      <c r="I6" s="190" t="s">
        <v>212</v>
      </c>
      <c r="J6" s="191" t="s">
        <v>213</v>
      </c>
      <c r="K6" s="192" t="s">
        <v>212</v>
      </c>
      <c r="L6" s="193" t="s">
        <v>212</v>
      </c>
      <c r="M6" s="193" t="s">
        <v>212</v>
      </c>
      <c r="N6" s="194" t="s">
        <v>213</v>
      </c>
      <c r="O6" s="266" t="s">
        <v>319</v>
      </c>
      <c r="P6" s="266" t="s">
        <v>320</v>
      </c>
      <c r="Q6" s="191" t="s">
        <v>321</v>
      </c>
    </row>
    <row r="7" spans="1:22" s="34" customFormat="1" ht="10.8" x14ac:dyDescent="0.3">
      <c r="A7" s="31">
        <v>1</v>
      </c>
      <c r="B7" s="32">
        <v>2</v>
      </c>
      <c r="C7" s="148">
        <v>3</v>
      </c>
      <c r="D7" s="33">
        <v>4</v>
      </c>
      <c r="E7" s="32">
        <v>5</v>
      </c>
      <c r="F7" s="32">
        <v>6</v>
      </c>
      <c r="G7" s="31">
        <v>7</v>
      </c>
      <c r="H7" s="33">
        <v>8</v>
      </c>
      <c r="I7" s="31">
        <v>9</v>
      </c>
      <c r="J7" s="33">
        <v>10</v>
      </c>
      <c r="K7" s="32">
        <v>11</v>
      </c>
      <c r="L7" s="32">
        <v>12</v>
      </c>
      <c r="M7" s="32">
        <v>13</v>
      </c>
      <c r="N7" s="33">
        <v>14</v>
      </c>
      <c r="O7" s="32">
        <v>15</v>
      </c>
      <c r="P7" s="32">
        <v>16</v>
      </c>
      <c r="Q7" s="33">
        <v>17</v>
      </c>
    </row>
    <row r="8" spans="1:22" s="42" customFormat="1" ht="27.6" x14ac:dyDescent="0.3">
      <c r="A8" s="35" t="s">
        <v>214</v>
      </c>
      <c r="B8" s="36" t="s">
        <v>215</v>
      </c>
      <c r="C8" s="149"/>
      <c r="D8" s="38"/>
      <c r="E8" s="28"/>
      <c r="F8" s="28"/>
      <c r="G8" s="37"/>
      <c r="H8" s="38"/>
      <c r="I8" s="37"/>
      <c r="J8" s="38"/>
      <c r="K8" s="39"/>
      <c r="L8" s="40"/>
      <c r="M8" s="40"/>
      <c r="N8" s="41"/>
      <c r="O8" s="28"/>
      <c r="P8" s="28"/>
      <c r="Q8" s="38"/>
    </row>
    <row r="9" spans="1:22" s="27" customFormat="1" x14ac:dyDescent="0.3">
      <c r="A9" s="43" t="s">
        <v>58</v>
      </c>
      <c r="B9" s="44" t="s">
        <v>216</v>
      </c>
      <c r="C9" s="45">
        <v>154908</v>
      </c>
      <c r="D9" s="46">
        <f>IF(C9=0,"",C9/C$23*100)</f>
        <v>34.183575518850752</v>
      </c>
      <c r="E9" s="49">
        <v>1912342</v>
      </c>
      <c r="F9" s="49">
        <f>E9/$E$23*100</f>
        <v>41.380663885079272</v>
      </c>
      <c r="G9" s="47">
        <v>1912342</v>
      </c>
      <c r="H9" s="46">
        <f>IF(G9=0,"",G9/G$23*100)</f>
        <v>41.380663885079272</v>
      </c>
      <c r="I9" s="47">
        <f>2840277-I13</f>
        <v>631778</v>
      </c>
      <c r="J9" s="46">
        <f>IF(I9=0,"",I9/I$23*100)</f>
        <v>22.243534697496052</v>
      </c>
      <c r="K9" s="47">
        <f>1126377-K13</f>
        <v>842876</v>
      </c>
      <c r="L9" s="48">
        <f>654688-L13</f>
        <v>437688</v>
      </c>
      <c r="M9" s="49">
        <f>K9+L9</f>
        <v>1280564</v>
      </c>
      <c r="N9" s="50">
        <f>IF(K9=0,"",K9/K$23*100)</f>
        <v>74.830718311897343</v>
      </c>
      <c r="O9" s="51">
        <f t="shared" ref="O9" si="0">IF(C9=0,"",I9/C9*100)</f>
        <v>407.84078291631164</v>
      </c>
      <c r="P9" s="51">
        <f t="shared" ref="P9" si="1">IF(G9=0,"",I9/G9*100)</f>
        <v>33.036873111608699</v>
      </c>
      <c r="Q9" s="52">
        <f t="shared" ref="Q9" si="2">IF(I9=0,"",M9/I9*100)</f>
        <v>202.69208487791599</v>
      </c>
    </row>
    <row r="10" spans="1:22" s="27" customFormat="1" x14ac:dyDescent="0.3">
      <c r="A10" s="43" t="s">
        <v>0</v>
      </c>
      <c r="B10" s="44" t="s">
        <v>217</v>
      </c>
      <c r="C10" s="45">
        <f>SUM(C11:C20)</f>
        <v>298257</v>
      </c>
      <c r="D10" s="46">
        <f>IF(C10=0,"",C10/C$23*100)</f>
        <v>65.816424481149255</v>
      </c>
      <c r="E10" s="45">
        <f>SUM(E11:E20)</f>
        <v>2709000</v>
      </c>
      <c r="F10" s="49">
        <f>E10/$E$23*100</f>
        <v>58.619336114920728</v>
      </c>
      <c r="G10" s="45">
        <f>SUM(G11:G20)</f>
        <v>2709000</v>
      </c>
      <c r="H10" s="46">
        <f>IF(G10=0,"",G10/G$23*100)</f>
        <v>58.619336114920728</v>
      </c>
      <c r="I10" s="45">
        <f>SUM(I11:I20)</f>
        <v>2208499</v>
      </c>
      <c r="J10" s="46">
        <f>IF(I10=0,"",I10/I$23*100)</f>
        <v>77.756465302503941</v>
      </c>
      <c r="K10" s="45">
        <f t="shared" ref="K10:M10" si="3">SUM(K11:K20)</f>
        <v>283501</v>
      </c>
      <c r="L10" s="49">
        <f t="shared" si="3"/>
        <v>217000</v>
      </c>
      <c r="M10" s="49">
        <f t="shared" si="3"/>
        <v>500501</v>
      </c>
      <c r="N10" s="50">
        <f>IF(K10=0,"",K10/K$23*100)</f>
        <v>25.16928168810265</v>
      </c>
      <c r="O10" s="51">
        <f t="shared" ref="O10:O23" si="4">IF(C10=0,"",I10/C10*100)</f>
        <v>740.46845505721569</v>
      </c>
      <c r="P10" s="51">
        <f t="shared" ref="P10:P23" si="5">IF(G10=0,"",I10/G10*100)</f>
        <v>81.524510889627166</v>
      </c>
      <c r="Q10" s="52">
        <f t="shared" ref="Q10:Q23" si="6">IF(I10=0,"",M10/I10*100)</f>
        <v>22.662496111612455</v>
      </c>
    </row>
    <row r="11" spans="1:22" s="27" customFormat="1" x14ac:dyDescent="0.3">
      <c r="A11" s="53"/>
      <c r="B11" s="44" t="s">
        <v>218</v>
      </c>
      <c r="C11" s="47"/>
      <c r="D11" s="46" t="str">
        <f>IF(C11=0,"",C11/C$23*100)</f>
        <v/>
      </c>
      <c r="E11" s="49"/>
      <c r="F11" s="49"/>
      <c r="G11" s="47"/>
      <c r="H11" s="46" t="str">
        <f>IF(G11=0,"",G11/G$23*100)</f>
        <v/>
      </c>
      <c r="I11" s="47"/>
      <c r="J11" s="46" t="str">
        <f>IF(I11=0,"",I11/I$23*100)</f>
        <v/>
      </c>
      <c r="K11" s="47"/>
      <c r="L11" s="48"/>
      <c r="M11" s="49"/>
      <c r="N11" s="50" t="str">
        <f>IF(K11=0,"",K11/K$23*100)</f>
        <v/>
      </c>
      <c r="O11" s="51" t="str">
        <f t="shared" si="4"/>
        <v/>
      </c>
      <c r="P11" s="51" t="str">
        <f t="shared" si="5"/>
        <v/>
      </c>
      <c r="Q11" s="52" t="str">
        <f t="shared" si="6"/>
        <v/>
      </c>
      <c r="V11" s="49"/>
    </row>
    <row r="12" spans="1:22" s="27" customFormat="1" x14ac:dyDescent="0.3">
      <c r="A12" s="53"/>
      <c r="B12" s="54" t="s">
        <v>219</v>
      </c>
      <c r="C12" s="47"/>
      <c r="D12" s="46" t="str">
        <f>IF(C12=0,"",C12/C$23*100)</f>
        <v/>
      </c>
      <c r="E12" s="49"/>
      <c r="F12" s="49"/>
      <c r="G12" s="47"/>
      <c r="H12" s="46" t="str">
        <f>IF(G12=0,"",G12/G$23*100)</f>
        <v/>
      </c>
      <c r="I12" s="47"/>
      <c r="J12" s="46" t="str">
        <f>IF(I12=0,"",I12/I$23*100)</f>
        <v/>
      </c>
      <c r="K12" s="47"/>
      <c r="L12" s="48"/>
      <c r="M12" s="49"/>
      <c r="N12" s="50" t="str">
        <f>IF(K12=0,"",K12/K$23*100)</f>
        <v/>
      </c>
      <c r="O12" s="51" t="str">
        <f t="shared" si="4"/>
        <v/>
      </c>
      <c r="P12" s="51" t="str">
        <f t="shared" si="5"/>
        <v/>
      </c>
      <c r="Q12" s="52" t="str">
        <f t="shared" si="6"/>
        <v/>
      </c>
    </row>
    <row r="13" spans="1:22" s="27" customFormat="1" x14ac:dyDescent="0.3">
      <c r="A13" s="53"/>
      <c r="B13" s="55" t="s">
        <v>220</v>
      </c>
      <c r="C13" s="47">
        <v>298257</v>
      </c>
      <c r="D13" s="46"/>
      <c r="E13" s="49">
        <v>2709000</v>
      </c>
      <c r="F13" s="49"/>
      <c r="G13" s="47">
        <v>2709000</v>
      </c>
      <c r="H13" s="46"/>
      <c r="I13" s="47">
        <f>242440+573262+199085+1193712</f>
        <v>2208499</v>
      </c>
      <c r="J13" s="46"/>
      <c r="K13" s="47">
        <f>270000+13501</f>
        <v>283501</v>
      </c>
      <c r="L13" s="48">
        <v>217000</v>
      </c>
      <c r="M13" s="49">
        <f>SUM(K13:L13)</f>
        <v>500501</v>
      </c>
      <c r="N13" s="50">
        <f t="shared" ref="N13" si="7">IF(K13=0,"",K13/K$23*100)</f>
        <v>25.16928168810265</v>
      </c>
      <c r="O13" s="51">
        <f t="shared" si="4"/>
        <v>740.46845505721569</v>
      </c>
      <c r="P13" s="51">
        <f t="shared" si="5"/>
        <v>81.524510889627166</v>
      </c>
      <c r="Q13" s="52">
        <f t="shared" si="6"/>
        <v>22.662496111612455</v>
      </c>
      <c r="S13" s="49"/>
    </row>
    <row r="14" spans="1:22" s="27" customFormat="1" ht="27.6" x14ac:dyDescent="0.3">
      <c r="A14" s="53"/>
      <c r="B14" s="54" t="s">
        <v>221</v>
      </c>
      <c r="C14" s="45"/>
      <c r="D14" s="46" t="str">
        <f>IF(C14=0,"",C14/C$23*100)</f>
        <v/>
      </c>
      <c r="E14" s="49"/>
      <c r="F14" s="49"/>
      <c r="G14" s="45"/>
      <c r="H14" s="46" t="str">
        <f>IF(G14=0,"",G14/G$23*100)</f>
        <v/>
      </c>
      <c r="I14" s="45"/>
      <c r="J14" s="46" t="str">
        <f>IF(I14=0,"",I14/I$23*100)</f>
        <v/>
      </c>
      <c r="K14" s="45"/>
      <c r="L14" s="49"/>
      <c r="M14" s="49"/>
      <c r="N14" s="50" t="str">
        <f>IF(K14=0,"",K14/K$23*100)</f>
        <v/>
      </c>
      <c r="O14" s="51" t="str">
        <f t="shared" si="4"/>
        <v/>
      </c>
      <c r="P14" s="51" t="str">
        <f t="shared" si="5"/>
        <v/>
      </c>
      <c r="Q14" s="52" t="str">
        <f t="shared" si="6"/>
        <v/>
      </c>
    </row>
    <row r="15" spans="1:22" s="27" customFormat="1" ht="27.6" x14ac:dyDescent="0.3">
      <c r="A15" s="53"/>
      <c r="B15" s="54" t="s">
        <v>222</v>
      </c>
      <c r="C15" s="45"/>
      <c r="D15" s="46" t="str">
        <f t="shared" ref="D15" si="8">IF(C15=0,"",C15/C$23*100)</f>
        <v/>
      </c>
      <c r="E15" s="49"/>
      <c r="F15" s="49"/>
      <c r="G15" s="45"/>
      <c r="H15" s="46" t="str">
        <f t="shared" ref="H15" si="9">IF(G15=0,"",G15/G$23*100)</f>
        <v/>
      </c>
      <c r="I15" s="45"/>
      <c r="J15" s="46" t="str">
        <f t="shared" ref="J15" si="10">IF(I15=0,"",I15/I$23*100)</f>
        <v/>
      </c>
      <c r="K15" s="45"/>
      <c r="L15" s="49"/>
      <c r="M15" s="49"/>
      <c r="N15" s="50" t="str">
        <f t="shared" ref="N15:N21" si="11">IF(K15=0,"",K15/K$23*100)</f>
        <v/>
      </c>
      <c r="O15" s="51" t="str">
        <f t="shared" si="4"/>
        <v/>
      </c>
      <c r="P15" s="51" t="str">
        <f t="shared" si="5"/>
        <v/>
      </c>
      <c r="Q15" s="52" t="str">
        <f t="shared" si="6"/>
        <v/>
      </c>
    </row>
    <row r="16" spans="1:22" s="27" customFormat="1" x14ac:dyDescent="0.3">
      <c r="A16" s="53"/>
      <c r="B16" s="54" t="s">
        <v>223</v>
      </c>
      <c r="C16" s="47"/>
      <c r="D16" s="46" t="str">
        <f>IF(C16=0,"",C16/C$23*100)</f>
        <v/>
      </c>
      <c r="E16" s="49"/>
      <c r="F16" s="49"/>
      <c r="G16" s="47"/>
      <c r="H16" s="46" t="str">
        <f>IF(G16=0,"",G16/G$23*100)</f>
        <v/>
      </c>
      <c r="I16" s="47"/>
      <c r="J16" s="46" t="str">
        <f>IF(I16=0,"",I16/I$23*100)</f>
        <v/>
      </c>
      <c r="K16" s="47"/>
      <c r="L16" s="48"/>
      <c r="M16" s="49"/>
      <c r="N16" s="50" t="str">
        <f t="shared" si="11"/>
        <v/>
      </c>
      <c r="O16" s="51" t="str">
        <f t="shared" si="4"/>
        <v/>
      </c>
      <c r="P16" s="51" t="str">
        <f t="shared" si="5"/>
        <v/>
      </c>
      <c r="Q16" s="52" t="str">
        <f t="shared" si="6"/>
        <v/>
      </c>
    </row>
    <row r="17" spans="1:19" s="27" customFormat="1" hidden="1" x14ac:dyDescent="0.3">
      <c r="A17" s="53"/>
      <c r="B17" s="54" t="s">
        <v>224</v>
      </c>
      <c r="C17" s="47"/>
      <c r="D17" s="46" t="str">
        <f>IF(C17=0,"",C17/C$23*100)</f>
        <v/>
      </c>
      <c r="E17" s="49"/>
      <c r="F17" s="49"/>
      <c r="G17" s="47"/>
      <c r="H17" s="46" t="str">
        <f>IF(G17=0,"",G17/G$23*100)</f>
        <v/>
      </c>
      <c r="I17" s="47"/>
      <c r="J17" s="46" t="str">
        <f>IF(I17=0,"",I17/I$23*100)</f>
        <v/>
      </c>
      <c r="K17" s="47"/>
      <c r="L17" s="48"/>
      <c r="M17" s="49"/>
      <c r="N17" s="50" t="str">
        <f t="shared" si="11"/>
        <v/>
      </c>
      <c r="O17" s="51" t="str">
        <f t="shared" si="4"/>
        <v/>
      </c>
      <c r="P17" s="51" t="str">
        <f t="shared" si="5"/>
        <v/>
      </c>
      <c r="Q17" s="52" t="str">
        <f t="shared" si="6"/>
        <v/>
      </c>
    </row>
    <row r="18" spans="1:19" s="27" customFormat="1" x14ac:dyDescent="0.3">
      <c r="A18" s="53"/>
      <c r="B18" s="54" t="s">
        <v>225</v>
      </c>
      <c r="C18" s="47"/>
      <c r="D18" s="46" t="str">
        <f>IF(C18=0,"",C18/C$23*100)</f>
        <v/>
      </c>
      <c r="E18" s="49"/>
      <c r="F18" s="49"/>
      <c r="G18" s="47"/>
      <c r="H18" s="46" t="str">
        <f>IF(G18=0,"",G18/G$23*100)</f>
        <v/>
      </c>
      <c r="I18" s="47"/>
      <c r="J18" s="46" t="str">
        <f>IF(I18=0,"",I18/I$23*100)</f>
        <v/>
      </c>
      <c r="K18" s="47"/>
      <c r="L18" s="48"/>
      <c r="M18" s="49"/>
      <c r="N18" s="50" t="str">
        <f t="shared" si="11"/>
        <v/>
      </c>
      <c r="O18" s="51" t="str">
        <f t="shared" si="4"/>
        <v/>
      </c>
      <c r="P18" s="51" t="str">
        <f t="shared" si="5"/>
        <v/>
      </c>
      <c r="Q18" s="52" t="str">
        <f t="shared" si="6"/>
        <v/>
      </c>
    </row>
    <row r="19" spans="1:19" s="27" customFormat="1" ht="27.6" x14ac:dyDescent="0.3">
      <c r="A19" s="53"/>
      <c r="B19" s="54" t="s">
        <v>226</v>
      </c>
      <c r="C19" s="47"/>
      <c r="D19" s="46" t="str">
        <f>IF(C19=0,"",C19/C$23*100)</f>
        <v/>
      </c>
      <c r="E19" s="49"/>
      <c r="F19" s="49"/>
      <c r="G19" s="47"/>
      <c r="H19" s="46" t="str">
        <f>IF(G19=0,"",G19/G$23*100)</f>
        <v/>
      </c>
      <c r="I19" s="47"/>
      <c r="J19" s="46" t="str">
        <f>IF(I19=0,"",I19/I$23*100)</f>
        <v/>
      </c>
      <c r="K19" s="47"/>
      <c r="L19" s="48"/>
      <c r="M19" s="49"/>
      <c r="N19" s="50" t="str">
        <f t="shared" si="11"/>
        <v/>
      </c>
      <c r="O19" s="51" t="str">
        <f t="shared" si="4"/>
        <v/>
      </c>
      <c r="P19" s="51" t="str">
        <f t="shared" si="5"/>
        <v/>
      </c>
      <c r="Q19" s="52" t="str">
        <f t="shared" si="6"/>
        <v/>
      </c>
    </row>
    <row r="20" spans="1:19" s="27" customFormat="1" x14ac:dyDescent="0.3">
      <c r="A20" s="53"/>
      <c r="B20" s="54" t="s">
        <v>227</v>
      </c>
      <c r="C20" s="47"/>
      <c r="D20" s="46" t="str">
        <f>IF(C20=0,"",C20/C$23*100)</f>
        <v/>
      </c>
      <c r="E20" s="49"/>
      <c r="F20" s="49"/>
      <c r="G20" s="47"/>
      <c r="H20" s="46" t="str">
        <f>IF(G20=0,"",G20/G$23*100)</f>
        <v/>
      </c>
      <c r="I20" s="47"/>
      <c r="J20" s="46" t="str">
        <f>IF(I20=0,"",I20/I$23*100)</f>
        <v/>
      </c>
      <c r="K20" s="47"/>
      <c r="L20" s="48"/>
      <c r="M20" s="49"/>
      <c r="N20" s="50" t="str">
        <f t="shared" si="11"/>
        <v/>
      </c>
      <c r="O20" s="51" t="str">
        <f t="shared" si="4"/>
        <v/>
      </c>
      <c r="P20" s="51" t="str">
        <f t="shared" si="5"/>
        <v/>
      </c>
      <c r="Q20" s="52" t="str">
        <f t="shared" si="6"/>
        <v/>
      </c>
    </row>
    <row r="21" spans="1:19" s="27" customFormat="1" ht="27.6" x14ac:dyDescent="0.3">
      <c r="A21" s="53"/>
      <c r="B21" s="54" t="s">
        <v>228</v>
      </c>
      <c r="C21" s="47">
        <f>SUM(C9:C10)</f>
        <v>453165</v>
      </c>
      <c r="D21" s="46"/>
      <c r="E21" s="47">
        <f>SUM(E9:E10)</f>
        <v>4621342</v>
      </c>
      <c r="F21" s="49"/>
      <c r="G21" s="47">
        <f>SUM(G9:G10)</f>
        <v>4621342</v>
      </c>
      <c r="H21" s="46"/>
      <c r="I21" s="47">
        <f>SUM(I9:I10)</f>
        <v>2840277</v>
      </c>
      <c r="J21" s="46"/>
      <c r="K21" s="47">
        <f>SUM(K9:K10)</f>
        <v>1126377</v>
      </c>
      <c r="L21" s="48">
        <f>SUM(L9:L10)</f>
        <v>654688</v>
      </c>
      <c r="M21" s="49">
        <f>SUM(M9:M10)</f>
        <v>1781065</v>
      </c>
      <c r="N21" s="50">
        <f t="shared" si="11"/>
        <v>100</v>
      </c>
      <c r="O21" s="51">
        <f t="shared" si="4"/>
        <v>626.7644235543346</v>
      </c>
      <c r="P21" s="51">
        <f t="shared" si="5"/>
        <v>61.460004474890631</v>
      </c>
      <c r="Q21" s="52">
        <f t="shared" si="6"/>
        <v>62.70744015460464</v>
      </c>
    </row>
    <row r="22" spans="1:19" s="27" customFormat="1" x14ac:dyDescent="0.3">
      <c r="A22" s="56" t="s">
        <v>28</v>
      </c>
      <c r="B22" s="54" t="s">
        <v>229</v>
      </c>
      <c r="C22" s="150"/>
      <c r="D22" s="58"/>
      <c r="E22" s="60"/>
      <c r="F22" s="60"/>
      <c r="G22" s="57"/>
      <c r="H22" s="58"/>
      <c r="I22" s="57"/>
      <c r="J22" s="58"/>
      <c r="K22" s="57"/>
      <c r="L22" s="59"/>
      <c r="M22" s="60"/>
      <c r="N22" s="61"/>
      <c r="O22" s="62" t="str">
        <f t="shared" si="4"/>
        <v/>
      </c>
      <c r="P22" s="62" t="str">
        <f t="shared" si="5"/>
        <v/>
      </c>
      <c r="Q22" s="63" t="str">
        <f t="shared" si="6"/>
        <v/>
      </c>
    </row>
    <row r="23" spans="1:19" s="42" customFormat="1" ht="15.6" customHeight="1" x14ac:dyDescent="0.25">
      <c r="A23" s="195" t="s">
        <v>44</v>
      </c>
      <c r="B23" s="196" t="s">
        <v>230</v>
      </c>
      <c r="C23" s="197">
        <f>SUM(C21,C22)</f>
        <v>453165</v>
      </c>
      <c r="D23" s="198">
        <f>IF(C23=0,"",C23/C$23*100)</f>
        <v>100</v>
      </c>
      <c r="E23" s="197">
        <f>SUM(E21,E22)</f>
        <v>4621342</v>
      </c>
      <c r="F23" s="199">
        <f>E23/$E$23*100</f>
        <v>100</v>
      </c>
      <c r="G23" s="197">
        <f>SUM(G21,G22)</f>
        <v>4621342</v>
      </c>
      <c r="H23" s="198">
        <f>IF(G23=0,"",G23/G$23*100)</f>
        <v>100</v>
      </c>
      <c r="I23" s="197">
        <f>SUM(I21,I22)</f>
        <v>2840277</v>
      </c>
      <c r="J23" s="198">
        <f>IF(I23=0,"",I23/I$23*100)</f>
        <v>100</v>
      </c>
      <c r="K23" s="197">
        <f>SUM(K21,K22)</f>
        <v>1126377</v>
      </c>
      <c r="L23" s="199">
        <f>SUM(L21,L22)</f>
        <v>654688</v>
      </c>
      <c r="M23" s="199">
        <f>SUM(M21,M22)</f>
        <v>1781065</v>
      </c>
      <c r="N23" s="200">
        <f>IF(K23=0,"",K23/K$23*100)</f>
        <v>100</v>
      </c>
      <c r="O23" s="201">
        <f t="shared" si="4"/>
        <v>626.7644235543346</v>
      </c>
      <c r="P23" s="201">
        <f t="shared" si="5"/>
        <v>61.460004474890631</v>
      </c>
      <c r="Q23" s="202">
        <f t="shared" si="6"/>
        <v>62.70744015460464</v>
      </c>
      <c r="R23" s="64"/>
      <c r="S23" s="169"/>
    </row>
    <row r="25" spans="1:19" x14ac:dyDescent="0.25">
      <c r="M25" s="65"/>
    </row>
    <row r="27" spans="1:19" x14ac:dyDescent="0.25">
      <c r="L27" s="65"/>
    </row>
  </sheetData>
  <mergeCells count="11">
    <mergeCell ref="M5:N5"/>
    <mergeCell ref="A2:Q2"/>
    <mergeCell ref="M3:Q3"/>
    <mergeCell ref="A4:A6"/>
    <mergeCell ref="B4:B6"/>
    <mergeCell ref="C4:D5"/>
    <mergeCell ref="O4:Q5"/>
    <mergeCell ref="G5:H5"/>
    <mergeCell ref="I5:J5"/>
    <mergeCell ref="E5:F5"/>
    <mergeCell ref="I4:N4"/>
  </mergeCells>
  <printOptions horizontalCentered="1"/>
  <pageMargins left="0.34" right="0.42" top="0.74803149606299213" bottom="0.74803149606299213" header="0.31496062992125984" footer="0.31496062992125984"/>
  <pageSetup paperSize="9" scale="77" orientation="landscape" verticalDpi="0" r:id="rId1"/>
  <ignoredErrors>
    <ignoredError sqref="K9:L9 E21 C21 G21 I13 I21 K21:L21 K13" unlockedFormula="1"/>
    <ignoredError sqref="F10 D10 H10 J10 D23 F23 H23" formula="1"/>
    <ignoredError sqref="I9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98"/>
  <sheetViews>
    <sheetView topLeftCell="A4" zoomScaleNormal="100" workbookViewId="0">
      <selection activeCell="Q14" sqref="Q14"/>
    </sheetView>
  </sheetViews>
  <sheetFormatPr defaultRowHeight="13.2" x14ac:dyDescent="0.25"/>
  <cols>
    <col min="1" max="1" width="6.88671875" style="66" customWidth="1"/>
    <col min="2" max="2" width="47.6640625" style="66" customWidth="1"/>
    <col min="3" max="3" width="10.44140625" style="66" customWidth="1"/>
    <col min="4" max="4" width="9.33203125" style="66" customWidth="1"/>
    <col min="5" max="5" width="8.6640625" style="66" customWidth="1"/>
    <col min="6" max="8" width="11" style="66" customWidth="1"/>
    <col min="9" max="9" width="6.88671875" style="66" customWidth="1"/>
    <col min="10" max="10" width="11" style="66" hidden="1" customWidth="1"/>
    <col min="11" max="11" width="7" style="66" customWidth="1"/>
    <col min="12" max="12" width="8.109375" style="66" customWidth="1"/>
    <col min="13" max="13" width="10.33203125" style="66" customWidth="1"/>
    <col min="14" max="14" width="10.5546875" style="66" customWidth="1"/>
    <col min="15" max="15" width="11.6640625" style="66" customWidth="1"/>
    <col min="16" max="16" width="14" style="66" customWidth="1"/>
    <col min="17" max="17" width="13.6640625" style="66" customWidth="1"/>
    <col min="18" max="259" width="8.88671875" style="66"/>
    <col min="260" max="260" width="5.6640625" style="66" customWidth="1"/>
    <col min="261" max="261" width="27.5546875" style="66" customWidth="1"/>
    <col min="262" max="271" width="11.6640625" style="66" customWidth="1"/>
    <col min="272" max="272" width="14" style="66" customWidth="1"/>
    <col min="273" max="273" width="13.6640625" style="66" customWidth="1"/>
    <col min="274" max="515" width="8.88671875" style="66"/>
    <col min="516" max="516" width="5.6640625" style="66" customWidth="1"/>
    <col min="517" max="517" width="27.5546875" style="66" customWidth="1"/>
    <col min="518" max="527" width="11.6640625" style="66" customWidth="1"/>
    <col min="528" max="528" width="14" style="66" customWidth="1"/>
    <col min="529" max="529" width="13.6640625" style="66" customWidth="1"/>
    <col min="530" max="771" width="8.88671875" style="66"/>
    <col min="772" max="772" width="5.6640625" style="66" customWidth="1"/>
    <col min="773" max="773" width="27.5546875" style="66" customWidth="1"/>
    <col min="774" max="783" width="11.6640625" style="66" customWidth="1"/>
    <col min="784" max="784" width="14" style="66" customWidth="1"/>
    <col min="785" max="785" width="13.6640625" style="66" customWidth="1"/>
    <col min="786" max="1027" width="8.88671875" style="66"/>
    <col min="1028" max="1028" width="5.6640625" style="66" customWidth="1"/>
    <col min="1029" max="1029" width="27.5546875" style="66" customWidth="1"/>
    <col min="1030" max="1039" width="11.6640625" style="66" customWidth="1"/>
    <col min="1040" max="1040" width="14" style="66" customWidth="1"/>
    <col min="1041" max="1041" width="13.6640625" style="66" customWidth="1"/>
    <col min="1042" max="1283" width="8.88671875" style="66"/>
    <col min="1284" max="1284" width="5.6640625" style="66" customWidth="1"/>
    <col min="1285" max="1285" width="27.5546875" style="66" customWidth="1"/>
    <col min="1286" max="1295" width="11.6640625" style="66" customWidth="1"/>
    <col min="1296" max="1296" width="14" style="66" customWidth="1"/>
    <col min="1297" max="1297" width="13.6640625" style="66" customWidth="1"/>
    <col min="1298" max="1539" width="8.88671875" style="66"/>
    <col min="1540" max="1540" width="5.6640625" style="66" customWidth="1"/>
    <col min="1541" max="1541" width="27.5546875" style="66" customWidth="1"/>
    <col min="1542" max="1551" width="11.6640625" style="66" customWidth="1"/>
    <col min="1552" max="1552" width="14" style="66" customWidth="1"/>
    <col min="1553" max="1553" width="13.6640625" style="66" customWidth="1"/>
    <col min="1554" max="1795" width="8.88671875" style="66"/>
    <col min="1796" max="1796" width="5.6640625" style="66" customWidth="1"/>
    <col min="1797" max="1797" width="27.5546875" style="66" customWidth="1"/>
    <col min="1798" max="1807" width="11.6640625" style="66" customWidth="1"/>
    <col min="1808" max="1808" width="14" style="66" customWidth="1"/>
    <col min="1809" max="1809" width="13.6640625" style="66" customWidth="1"/>
    <col min="1810" max="2051" width="8.88671875" style="66"/>
    <col min="2052" max="2052" width="5.6640625" style="66" customWidth="1"/>
    <col min="2053" max="2053" width="27.5546875" style="66" customWidth="1"/>
    <col min="2054" max="2063" width="11.6640625" style="66" customWidth="1"/>
    <col min="2064" max="2064" width="14" style="66" customWidth="1"/>
    <col min="2065" max="2065" width="13.6640625" style="66" customWidth="1"/>
    <col min="2066" max="2307" width="8.88671875" style="66"/>
    <col min="2308" max="2308" width="5.6640625" style="66" customWidth="1"/>
    <col min="2309" max="2309" width="27.5546875" style="66" customWidth="1"/>
    <col min="2310" max="2319" width="11.6640625" style="66" customWidth="1"/>
    <col min="2320" max="2320" width="14" style="66" customWidth="1"/>
    <col min="2321" max="2321" width="13.6640625" style="66" customWidth="1"/>
    <col min="2322" max="2563" width="8.88671875" style="66"/>
    <col min="2564" max="2564" width="5.6640625" style="66" customWidth="1"/>
    <col min="2565" max="2565" width="27.5546875" style="66" customWidth="1"/>
    <col min="2566" max="2575" width="11.6640625" style="66" customWidth="1"/>
    <col min="2576" max="2576" width="14" style="66" customWidth="1"/>
    <col min="2577" max="2577" width="13.6640625" style="66" customWidth="1"/>
    <col min="2578" max="2819" width="8.88671875" style="66"/>
    <col min="2820" max="2820" width="5.6640625" style="66" customWidth="1"/>
    <col min="2821" max="2821" width="27.5546875" style="66" customWidth="1"/>
    <col min="2822" max="2831" width="11.6640625" style="66" customWidth="1"/>
    <col min="2832" max="2832" width="14" style="66" customWidth="1"/>
    <col min="2833" max="2833" width="13.6640625" style="66" customWidth="1"/>
    <col min="2834" max="3075" width="8.88671875" style="66"/>
    <col min="3076" max="3076" width="5.6640625" style="66" customWidth="1"/>
    <col min="3077" max="3077" width="27.5546875" style="66" customWidth="1"/>
    <col min="3078" max="3087" width="11.6640625" style="66" customWidth="1"/>
    <col min="3088" max="3088" width="14" style="66" customWidth="1"/>
    <col min="3089" max="3089" width="13.6640625" style="66" customWidth="1"/>
    <col min="3090" max="3331" width="8.88671875" style="66"/>
    <col min="3332" max="3332" width="5.6640625" style="66" customWidth="1"/>
    <col min="3333" max="3333" width="27.5546875" style="66" customWidth="1"/>
    <col min="3334" max="3343" width="11.6640625" style="66" customWidth="1"/>
    <col min="3344" max="3344" width="14" style="66" customWidth="1"/>
    <col min="3345" max="3345" width="13.6640625" style="66" customWidth="1"/>
    <col min="3346" max="3587" width="8.88671875" style="66"/>
    <col min="3588" max="3588" width="5.6640625" style="66" customWidth="1"/>
    <col min="3589" max="3589" width="27.5546875" style="66" customWidth="1"/>
    <col min="3590" max="3599" width="11.6640625" style="66" customWidth="1"/>
    <col min="3600" max="3600" width="14" style="66" customWidth="1"/>
    <col min="3601" max="3601" width="13.6640625" style="66" customWidth="1"/>
    <col min="3602" max="3843" width="8.88671875" style="66"/>
    <col min="3844" max="3844" width="5.6640625" style="66" customWidth="1"/>
    <col min="3845" max="3845" width="27.5546875" style="66" customWidth="1"/>
    <col min="3846" max="3855" width="11.6640625" style="66" customWidth="1"/>
    <col min="3856" max="3856" width="14" style="66" customWidth="1"/>
    <col min="3857" max="3857" width="13.6640625" style="66" customWidth="1"/>
    <col min="3858" max="4099" width="8.88671875" style="66"/>
    <col min="4100" max="4100" width="5.6640625" style="66" customWidth="1"/>
    <col min="4101" max="4101" width="27.5546875" style="66" customWidth="1"/>
    <col min="4102" max="4111" width="11.6640625" style="66" customWidth="1"/>
    <col min="4112" max="4112" width="14" style="66" customWidth="1"/>
    <col min="4113" max="4113" width="13.6640625" style="66" customWidth="1"/>
    <col min="4114" max="4355" width="8.88671875" style="66"/>
    <col min="4356" max="4356" width="5.6640625" style="66" customWidth="1"/>
    <col min="4357" max="4357" width="27.5546875" style="66" customWidth="1"/>
    <col min="4358" max="4367" width="11.6640625" style="66" customWidth="1"/>
    <col min="4368" max="4368" width="14" style="66" customWidth="1"/>
    <col min="4369" max="4369" width="13.6640625" style="66" customWidth="1"/>
    <col min="4370" max="4611" width="8.88671875" style="66"/>
    <col min="4612" max="4612" width="5.6640625" style="66" customWidth="1"/>
    <col min="4613" max="4613" width="27.5546875" style="66" customWidth="1"/>
    <col min="4614" max="4623" width="11.6640625" style="66" customWidth="1"/>
    <col min="4624" max="4624" width="14" style="66" customWidth="1"/>
    <col min="4625" max="4625" width="13.6640625" style="66" customWidth="1"/>
    <col min="4626" max="4867" width="8.88671875" style="66"/>
    <col min="4868" max="4868" width="5.6640625" style="66" customWidth="1"/>
    <col min="4869" max="4869" width="27.5546875" style="66" customWidth="1"/>
    <col min="4870" max="4879" width="11.6640625" style="66" customWidth="1"/>
    <col min="4880" max="4880" width="14" style="66" customWidth="1"/>
    <col min="4881" max="4881" width="13.6640625" style="66" customWidth="1"/>
    <col min="4882" max="5123" width="8.88671875" style="66"/>
    <col min="5124" max="5124" width="5.6640625" style="66" customWidth="1"/>
    <col min="5125" max="5125" width="27.5546875" style="66" customWidth="1"/>
    <col min="5126" max="5135" width="11.6640625" style="66" customWidth="1"/>
    <col min="5136" max="5136" width="14" style="66" customWidth="1"/>
    <col min="5137" max="5137" width="13.6640625" style="66" customWidth="1"/>
    <col min="5138" max="5379" width="8.88671875" style="66"/>
    <col min="5380" max="5380" width="5.6640625" style="66" customWidth="1"/>
    <col min="5381" max="5381" width="27.5546875" style="66" customWidth="1"/>
    <col min="5382" max="5391" width="11.6640625" style="66" customWidth="1"/>
    <col min="5392" max="5392" width="14" style="66" customWidth="1"/>
    <col min="5393" max="5393" width="13.6640625" style="66" customWidth="1"/>
    <col min="5394" max="5635" width="8.88671875" style="66"/>
    <col min="5636" max="5636" width="5.6640625" style="66" customWidth="1"/>
    <col min="5637" max="5637" width="27.5546875" style="66" customWidth="1"/>
    <col min="5638" max="5647" width="11.6640625" style="66" customWidth="1"/>
    <col min="5648" max="5648" width="14" style="66" customWidth="1"/>
    <col min="5649" max="5649" width="13.6640625" style="66" customWidth="1"/>
    <col min="5650" max="5891" width="8.88671875" style="66"/>
    <col min="5892" max="5892" width="5.6640625" style="66" customWidth="1"/>
    <col min="5893" max="5893" width="27.5546875" style="66" customWidth="1"/>
    <col min="5894" max="5903" width="11.6640625" style="66" customWidth="1"/>
    <col min="5904" max="5904" width="14" style="66" customWidth="1"/>
    <col min="5905" max="5905" width="13.6640625" style="66" customWidth="1"/>
    <col min="5906" max="6147" width="8.88671875" style="66"/>
    <col min="6148" max="6148" width="5.6640625" style="66" customWidth="1"/>
    <col min="6149" max="6149" width="27.5546875" style="66" customWidth="1"/>
    <col min="6150" max="6159" width="11.6640625" style="66" customWidth="1"/>
    <col min="6160" max="6160" width="14" style="66" customWidth="1"/>
    <col min="6161" max="6161" width="13.6640625" style="66" customWidth="1"/>
    <col min="6162" max="6403" width="8.88671875" style="66"/>
    <col min="6404" max="6404" width="5.6640625" style="66" customWidth="1"/>
    <col min="6405" max="6405" width="27.5546875" style="66" customWidth="1"/>
    <col min="6406" max="6415" width="11.6640625" style="66" customWidth="1"/>
    <col min="6416" max="6416" width="14" style="66" customWidth="1"/>
    <col min="6417" max="6417" width="13.6640625" style="66" customWidth="1"/>
    <col min="6418" max="6659" width="8.88671875" style="66"/>
    <col min="6660" max="6660" width="5.6640625" style="66" customWidth="1"/>
    <col min="6661" max="6661" width="27.5546875" style="66" customWidth="1"/>
    <col min="6662" max="6671" width="11.6640625" style="66" customWidth="1"/>
    <col min="6672" max="6672" width="14" style="66" customWidth="1"/>
    <col min="6673" max="6673" width="13.6640625" style="66" customWidth="1"/>
    <col min="6674" max="6915" width="8.88671875" style="66"/>
    <col min="6916" max="6916" width="5.6640625" style="66" customWidth="1"/>
    <col min="6917" max="6917" width="27.5546875" style="66" customWidth="1"/>
    <col min="6918" max="6927" width="11.6640625" style="66" customWidth="1"/>
    <col min="6928" max="6928" width="14" style="66" customWidth="1"/>
    <col min="6929" max="6929" width="13.6640625" style="66" customWidth="1"/>
    <col min="6930" max="7171" width="8.88671875" style="66"/>
    <col min="7172" max="7172" width="5.6640625" style="66" customWidth="1"/>
    <col min="7173" max="7173" width="27.5546875" style="66" customWidth="1"/>
    <col min="7174" max="7183" width="11.6640625" style="66" customWidth="1"/>
    <col min="7184" max="7184" width="14" style="66" customWidth="1"/>
    <col min="7185" max="7185" width="13.6640625" style="66" customWidth="1"/>
    <col min="7186" max="7427" width="8.88671875" style="66"/>
    <col min="7428" max="7428" width="5.6640625" style="66" customWidth="1"/>
    <col min="7429" max="7429" width="27.5546875" style="66" customWidth="1"/>
    <col min="7430" max="7439" width="11.6640625" style="66" customWidth="1"/>
    <col min="7440" max="7440" width="14" style="66" customWidth="1"/>
    <col min="7441" max="7441" width="13.6640625" style="66" customWidth="1"/>
    <col min="7442" max="7683" width="8.88671875" style="66"/>
    <col min="7684" max="7684" width="5.6640625" style="66" customWidth="1"/>
    <col min="7685" max="7685" width="27.5546875" style="66" customWidth="1"/>
    <col min="7686" max="7695" width="11.6640625" style="66" customWidth="1"/>
    <col min="7696" max="7696" width="14" style="66" customWidth="1"/>
    <col min="7697" max="7697" width="13.6640625" style="66" customWidth="1"/>
    <col min="7698" max="7939" width="8.88671875" style="66"/>
    <col min="7940" max="7940" width="5.6640625" style="66" customWidth="1"/>
    <col min="7941" max="7941" width="27.5546875" style="66" customWidth="1"/>
    <col min="7942" max="7951" width="11.6640625" style="66" customWidth="1"/>
    <col min="7952" max="7952" width="14" style="66" customWidth="1"/>
    <col min="7953" max="7953" width="13.6640625" style="66" customWidth="1"/>
    <col min="7954" max="8195" width="8.88671875" style="66"/>
    <col min="8196" max="8196" width="5.6640625" style="66" customWidth="1"/>
    <col min="8197" max="8197" width="27.5546875" style="66" customWidth="1"/>
    <col min="8198" max="8207" width="11.6640625" style="66" customWidth="1"/>
    <col min="8208" max="8208" width="14" style="66" customWidth="1"/>
    <col min="8209" max="8209" width="13.6640625" style="66" customWidth="1"/>
    <col min="8210" max="8451" width="8.88671875" style="66"/>
    <col min="8452" max="8452" width="5.6640625" style="66" customWidth="1"/>
    <col min="8453" max="8453" width="27.5546875" style="66" customWidth="1"/>
    <col min="8454" max="8463" width="11.6640625" style="66" customWidth="1"/>
    <col min="8464" max="8464" width="14" style="66" customWidth="1"/>
    <col min="8465" max="8465" width="13.6640625" style="66" customWidth="1"/>
    <col min="8466" max="8707" width="8.88671875" style="66"/>
    <col min="8708" max="8708" width="5.6640625" style="66" customWidth="1"/>
    <col min="8709" max="8709" width="27.5546875" style="66" customWidth="1"/>
    <col min="8710" max="8719" width="11.6640625" style="66" customWidth="1"/>
    <col min="8720" max="8720" width="14" style="66" customWidth="1"/>
    <col min="8721" max="8721" width="13.6640625" style="66" customWidth="1"/>
    <col min="8722" max="8963" width="8.88671875" style="66"/>
    <col min="8964" max="8964" width="5.6640625" style="66" customWidth="1"/>
    <col min="8965" max="8965" width="27.5546875" style="66" customWidth="1"/>
    <col min="8966" max="8975" width="11.6640625" style="66" customWidth="1"/>
    <col min="8976" max="8976" width="14" style="66" customWidth="1"/>
    <col min="8977" max="8977" width="13.6640625" style="66" customWidth="1"/>
    <col min="8978" max="9219" width="8.88671875" style="66"/>
    <col min="9220" max="9220" width="5.6640625" style="66" customWidth="1"/>
    <col min="9221" max="9221" width="27.5546875" style="66" customWidth="1"/>
    <col min="9222" max="9231" width="11.6640625" style="66" customWidth="1"/>
    <col min="9232" max="9232" width="14" style="66" customWidth="1"/>
    <col min="9233" max="9233" width="13.6640625" style="66" customWidth="1"/>
    <col min="9234" max="9475" width="8.88671875" style="66"/>
    <col min="9476" max="9476" width="5.6640625" style="66" customWidth="1"/>
    <col min="9477" max="9477" width="27.5546875" style="66" customWidth="1"/>
    <col min="9478" max="9487" width="11.6640625" style="66" customWidth="1"/>
    <col min="9488" max="9488" width="14" style="66" customWidth="1"/>
    <col min="9489" max="9489" width="13.6640625" style="66" customWidth="1"/>
    <col min="9490" max="9731" width="8.88671875" style="66"/>
    <col min="9732" max="9732" width="5.6640625" style="66" customWidth="1"/>
    <col min="9733" max="9733" width="27.5546875" style="66" customWidth="1"/>
    <col min="9734" max="9743" width="11.6640625" style="66" customWidth="1"/>
    <col min="9744" max="9744" width="14" style="66" customWidth="1"/>
    <col min="9745" max="9745" width="13.6640625" style="66" customWidth="1"/>
    <col min="9746" max="9987" width="8.88671875" style="66"/>
    <col min="9988" max="9988" width="5.6640625" style="66" customWidth="1"/>
    <col min="9989" max="9989" width="27.5546875" style="66" customWidth="1"/>
    <col min="9990" max="9999" width="11.6640625" style="66" customWidth="1"/>
    <col min="10000" max="10000" width="14" style="66" customWidth="1"/>
    <col min="10001" max="10001" width="13.6640625" style="66" customWidth="1"/>
    <col min="10002" max="10243" width="8.88671875" style="66"/>
    <col min="10244" max="10244" width="5.6640625" style="66" customWidth="1"/>
    <col min="10245" max="10245" width="27.5546875" style="66" customWidth="1"/>
    <col min="10246" max="10255" width="11.6640625" style="66" customWidth="1"/>
    <col min="10256" max="10256" width="14" style="66" customWidth="1"/>
    <col min="10257" max="10257" width="13.6640625" style="66" customWidth="1"/>
    <col min="10258" max="10499" width="8.88671875" style="66"/>
    <col min="10500" max="10500" width="5.6640625" style="66" customWidth="1"/>
    <col min="10501" max="10501" width="27.5546875" style="66" customWidth="1"/>
    <col min="10502" max="10511" width="11.6640625" style="66" customWidth="1"/>
    <col min="10512" max="10512" width="14" style="66" customWidth="1"/>
    <col min="10513" max="10513" width="13.6640625" style="66" customWidth="1"/>
    <col min="10514" max="10755" width="8.88671875" style="66"/>
    <col min="10756" max="10756" width="5.6640625" style="66" customWidth="1"/>
    <col min="10757" max="10757" width="27.5546875" style="66" customWidth="1"/>
    <col min="10758" max="10767" width="11.6640625" style="66" customWidth="1"/>
    <col min="10768" max="10768" width="14" style="66" customWidth="1"/>
    <col min="10769" max="10769" width="13.6640625" style="66" customWidth="1"/>
    <col min="10770" max="11011" width="8.88671875" style="66"/>
    <col min="11012" max="11012" width="5.6640625" style="66" customWidth="1"/>
    <col min="11013" max="11013" width="27.5546875" style="66" customWidth="1"/>
    <col min="11014" max="11023" width="11.6640625" style="66" customWidth="1"/>
    <col min="11024" max="11024" width="14" style="66" customWidth="1"/>
    <col min="11025" max="11025" width="13.6640625" style="66" customWidth="1"/>
    <col min="11026" max="11267" width="8.88671875" style="66"/>
    <col min="11268" max="11268" width="5.6640625" style="66" customWidth="1"/>
    <col min="11269" max="11269" width="27.5546875" style="66" customWidth="1"/>
    <col min="11270" max="11279" width="11.6640625" style="66" customWidth="1"/>
    <col min="11280" max="11280" width="14" style="66" customWidth="1"/>
    <col min="11281" max="11281" width="13.6640625" style="66" customWidth="1"/>
    <col min="11282" max="11523" width="8.88671875" style="66"/>
    <col min="11524" max="11524" width="5.6640625" style="66" customWidth="1"/>
    <col min="11525" max="11525" width="27.5546875" style="66" customWidth="1"/>
    <col min="11526" max="11535" width="11.6640625" style="66" customWidth="1"/>
    <col min="11536" max="11536" width="14" style="66" customWidth="1"/>
    <col min="11537" max="11537" width="13.6640625" style="66" customWidth="1"/>
    <col min="11538" max="11779" width="8.88671875" style="66"/>
    <col min="11780" max="11780" width="5.6640625" style="66" customWidth="1"/>
    <col min="11781" max="11781" width="27.5546875" style="66" customWidth="1"/>
    <col min="11782" max="11791" width="11.6640625" style="66" customWidth="1"/>
    <col min="11792" max="11792" width="14" style="66" customWidth="1"/>
    <col min="11793" max="11793" width="13.6640625" style="66" customWidth="1"/>
    <col min="11794" max="12035" width="8.88671875" style="66"/>
    <col min="12036" max="12036" width="5.6640625" style="66" customWidth="1"/>
    <col min="12037" max="12037" width="27.5546875" style="66" customWidth="1"/>
    <col min="12038" max="12047" width="11.6640625" style="66" customWidth="1"/>
    <col min="12048" max="12048" width="14" style="66" customWidth="1"/>
    <col min="12049" max="12049" width="13.6640625" style="66" customWidth="1"/>
    <col min="12050" max="12291" width="8.88671875" style="66"/>
    <col min="12292" max="12292" width="5.6640625" style="66" customWidth="1"/>
    <col min="12293" max="12293" width="27.5546875" style="66" customWidth="1"/>
    <col min="12294" max="12303" width="11.6640625" style="66" customWidth="1"/>
    <col min="12304" max="12304" width="14" style="66" customWidth="1"/>
    <col min="12305" max="12305" width="13.6640625" style="66" customWidth="1"/>
    <col min="12306" max="12547" width="8.88671875" style="66"/>
    <col min="12548" max="12548" width="5.6640625" style="66" customWidth="1"/>
    <col min="12549" max="12549" width="27.5546875" style="66" customWidth="1"/>
    <col min="12550" max="12559" width="11.6640625" style="66" customWidth="1"/>
    <col min="12560" max="12560" width="14" style="66" customWidth="1"/>
    <col min="12561" max="12561" width="13.6640625" style="66" customWidth="1"/>
    <col min="12562" max="12803" width="8.88671875" style="66"/>
    <col min="12804" max="12804" width="5.6640625" style="66" customWidth="1"/>
    <col min="12805" max="12805" width="27.5546875" style="66" customWidth="1"/>
    <col min="12806" max="12815" width="11.6640625" style="66" customWidth="1"/>
    <col min="12816" max="12816" width="14" style="66" customWidth="1"/>
    <col min="12817" max="12817" width="13.6640625" style="66" customWidth="1"/>
    <col min="12818" max="13059" width="8.88671875" style="66"/>
    <col min="13060" max="13060" width="5.6640625" style="66" customWidth="1"/>
    <col min="13061" max="13061" width="27.5546875" style="66" customWidth="1"/>
    <col min="13062" max="13071" width="11.6640625" style="66" customWidth="1"/>
    <col min="13072" max="13072" width="14" style="66" customWidth="1"/>
    <col min="13073" max="13073" width="13.6640625" style="66" customWidth="1"/>
    <col min="13074" max="13315" width="8.88671875" style="66"/>
    <col min="13316" max="13316" width="5.6640625" style="66" customWidth="1"/>
    <col min="13317" max="13317" width="27.5546875" style="66" customWidth="1"/>
    <col min="13318" max="13327" width="11.6640625" style="66" customWidth="1"/>
    <col min="13328" max="13328" width="14" style="66" customWidth="1"/>
    <col min="13329" max="13329" width="13.6640625" style="66" customWidth="1"/>
    <col min="13330" max="13571" width="8.88671875" style="66"/>
    <col min="13572" max="13572" width="5.6640625" style="66" customWidth="1"/>
    <col min="13573" max="13573" width="27.5546875" style="66" customWidth="1"/>
    <col min="13574" max="13583" width="11.6640625" style="66" customWidth="1"/>
    <col min="13584" max="13584" width="14" style="66" customWidth="1"/>
    <col min="13585" max="13585" width="13.6640625" style="66" customWidth="1"/>
    <col min="13586" max="13827" width="8.88671875" style="66"/>
    <col min="13828" max="13828" width="5.6640625" style="66" customWidth="1"/>
    <col min="13829" max="13829" width="27.5546875" style="66" customWidth="1"/>
    <col min="13830" max="13839" width="11.6640625" style="66" customWidth="1"/>
    <col min="13840" max="13840" width="14" style="66" customWidth="1"/>
    <col min="13841" max="13841" width="13.6640625" style="66" customWidth="1"/>
    <col min="13842" max="14083" width="8.88671875" style="66"/>
    <col min="14084" max="14084" width="5.6640625" style="66" customWidth="1"/>
    <col min="14085" max="14085" width="27.5546875" style="66" customWidth="1"/>
    <col min="14086" max="14095" width="11.6640625" style="66" customWidth="1"/>
    <col min="14096" max="14096" width="14" style="66" customWidth="1"/>
    <col min="14097" max="14097" width="13.6640625" style="66" customWidth="1"/>
    <col min="14098" max="14339" width="8.88671875" style="66"/>
    <col min="14340" max="14340" width="5.6640625" style="66" customWidth="1"/>
    <col min="14341" max="14341" width="27.5546875" style="66" customWidth="1"/>
    <col min="14342" max="14351" width="11.6640625" style="66" customWidth="1"/>
    <col min="14352" max="14352" width="14" style="66" customWidth="1"/>
    <col min="14353" max="14353" width="13.6640625" style="66" customWidth="1"/>
    <col min="14354" max="14595" width="8.88671875" style="66"/>
    <col min="14596" max="14596" width="5.6640625" style="66" customWidth="1"/>
    <col min="14597" max="14597" width="27.5546875" style="66" customWidth="1"/>
    <col min="14598" max="14607" width="11.6640625" style="66" customWidth="1"/>
    <col min="14608" max="14608" width="14" style="66" customWidth="1"/>
    <col min="14609" max="14609" width="13.6640625" style="66" customWidth="1"/>
    <col min="14610" max="14851" width="8.88671875" style="66"/>
    <col min="14852" max="14852" width="5.6640625" style="66" customWidth="1"/>
    <col min="14853" max="14853" width="27.5546875" style="66" customWidth="1"/>
    <col min="14854" max="14863" width="11.6640625" style="66" customWidth="1"/>
    <col min="14864" max="14864" width="14" style="66" customWidth="1"/>
    <col min="14865" max="14865" width="13.6640625" style="66" customWidth="1"/>
    <col min="14866" max="15107" width="8.88671875" style="66"/>
    <col min="15108" max="15108" width="5.6640625" style="66" customWidth="1"/>
    <col min="15109" max="15109" width="27.5546875" style="66" customWidth="1"/>
    <col min="15110" max="15119" width="11.6640625" style="66" customWidth="1"/>
    <col min="15120" max="15120" width="14" style="66" customWidth="1"/>
    <col min="15121" max="15121" width="13.6640625" style="66" customWidth="1"/>
    <col min="15122" max="15363" width="8.88671875" style="66"/>
    <col min="15364" max="15364" width="5.6640625" style="66" customWidth="1"/>
    <col min="15365" max="15365" width="27.5546875" style="66" customWidth="1"/>
    <col min="15366" max="15375" width="11.6640625" style="66" customWidth="1"/>
    <col min="15376" max="15376" width="14" style="66" customWidth="1"/>
    <col min="15377" max="15377" width="13.6640625" style="66" customWidth="1"/>
    <col min="15378" max="15619" width="8.88671875" style="66"/>
    <col min="15620" max="15620" width="5.6640625" style="66" customWidth="1"/>
    <col min="15621" max="15621" width="27.5546875" style="66" customWidth="1"/>
    <col min="15622" max="15631" width="11.6640625" style="66" customWidth="1"/>
    <col min="15632" max="15632" width="14" style="66" customWidth="1"/>
    <col min="15633" max="15633" width="13.6640625" style="66" customWidth="1"/>
    <col min="15634" max="15875" width="8.88671875" style="66"/>
    <col min="15876" max="15876" width="5.6640625" style="66" customWidth="1"/>
    <col min="15877" max="15877" width="27.5546875" style="66" customWidth="1"/>
    <col min="15878" max="15887" width="11.6640625" style="66" customWidth="1"/>
    <col min="15888" max="15888" width="14" style="66" customWidth="1"/>
    <col min="15889" max="15889" width="13.6640625" style="66" customWidth="1"/>
    <col min="15890" max="16131" width="8.88671875" style="66"/>
    <col min="16132" max="16132" width="5.6640625" style="66" customWidth="1"/>
    <col min="16133" max="16133" width="27.5546875" style="66" customWidth="1"/>
    <col min="16134" max="16143" width="11.6640625" style="66" customWidth="1"/>
    <col min="16144" max="16144" width="14" style="66" customWidth="1"/>
    <col min="16145" max="16145" width="13.6640625" style="66" customWidth="1"/>
    <col min="16146" max="16384" width="8.88671875" style="66"/>
  </cols>
  <sheetData>
    <row r="1" spans="1:17" x14ac:dyDescent="0.25">
      <c r="A1" s="66" t="str">
        <f>'[5]1-Zaposlenost'!$A$1</f>
        <v>Trgovačko društvo: Zagrebački velesajam d.o.o.</v>
      </c>
    </row>
    <row r="2" spans="1:17" ht="30" customHeight="1" x14ac:dyDescent="0.25">
      <c r="A2" s="508" t="s">
        <v>231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67"/>
      <c r="Q2" s="67"/>
    </row>
    <row r="3" spans="1:17" ht="13.8" thickBot="1" x14ac:dyDescent="0.3">
      <c r="A3" s="68"/>
      <c r="B3" s="69"/>
      <c r="C3" s="69"/>
      <c r="D3" s="69"/>
      <c r="E3" s="69"/>
      <c r="F3" s="69"/>
      <c r="G3" s="70"/>
      <c r="H3" s="70"/>
      <c r="I3" s="70"/>
      <c r="J3" s="70"/>
      <c r="K3" s="71"/>
      <c r="O3" s="72" t="s">
        <v>55</v>
      </c>
      <c r="Q3" s="71"/>
    </row>
    <row r="4" spans="1:17" ht="13.5" customHeight="1" thickTop="1" x14ac:dyDescent="0.25">
      <c r="A4" s="509" t="s">
        <v>56</v>
      </c>
      <c r="B4" s="512" t="s">
        <v>57</v>
      </c>
      <c r="C4" s="515" t="s">
        <v>267</v>
      </c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7"/>
    </row>
    <row r="5" spans="1:17" ht="12.75" customHeight="1" x14ac:dyDescent="0.25">
      <c r="A5" s="510"/>
      <c r="B5" s="513"/>
      <c r="C5" s="518" t="s">
        <v>232</v>
      </c>
      <c r="D5" s="520" t="s">
        <v>233</v>
      </c>
      <c r="E5" s="521"/>
      <c r="F5" s="521"/>
      <c r="G5" s="521"/>
      <c r="H5" s="521"/>
      <c r="I5" s="521"/>
      <c r="J5" s="521"/>
      <c r="K5" s="521"/>
      <c r="L5" s="521"/>
      <c r="M5" s="521"/>
      <c r="N5" s="522"/>
      <c r="O5" s="523" t="s">
        <v>234</v>
      </c>
    </row>
    <row r="6" spans="1:17" ht="68.400000000000006" customHeight="1" x14ac:dyDescent="0.25">
      <c r="A6" s="511"/>
      <c r="B6" s="514"/>
      <c r="C6" s="519"/>
      <c r="D6" s="73" t="s">
        <v>235</v>
      </c>
      <c r="E6" s="73" t="s">
        <v>236</v>
      </c>
      <c r="F6" s="73" t="s">
        <v>237</v>
      </c>
      <c r="G6" s="73" t="s">
        <v>238</v>
      </c>
      <c r="H6" s="73" t="s">
        <v>239</v>
      </c>
      <c r="I6" s="73" t="s">
        <v>240</v>
      </c>
      <c r="J6" s="73" t="s">
        <v>241</v>
      </c>
      <c r="K6" s="73" t="s">
        <v>242</v>
      </c>
      <c r="L6" s="73" t="s">
        <v>243</v>
      </c>
      <c r="M6" s="73" t="s">
        <v>244</v>
      </c>
      <c r="N6" s="74" t="s">
        <v>245</v>
      </c>
      <c r="O6" s="524"/>
    </row>
    <row r="7" spans="1:17" ht="13.8" thickBot="1" x14ac:dyDescent="0.3">
      <c r="A7" s="75">
        <v>1</v>
      </c>
      <c r="B7" s="76">
        <v>2</v>
      </c>
      <c r="C7" s="170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10</v>
      </c>
      <c r="L7" s="76">
        <v>11</v>
      </c>
      <c r="M7" s="76">
        <v>12</v>
      </c>
      <c r="N7" s="77">
        <v>13</v>
      </c>
      <c r="O7" s="78">
        <v>14</v>
      </c>
    </row>
    <row r="8" spans="1:17" ht="17.25" customHeight="1" thickTop="1" x14ac:dyDescent="0.25">
      <c r="A8" s="241" t="s">
        <v>58</v>
      </c>
      <c r="B8" s="242" t="s">
        <v>59</v>
      </c>
      <c r="C8" s="243">
        <f>SUM(C9:C29)</f>
        <v>882154</v>
      </c>
      <c r="D8" s="243">
        <f>SUM(D9:D27)</f>
        <v>0</v>
      </c>
      <c r="E8" s="243">
        <f>SUM(E9:E27)</f>
        <v>0</v>
      </c>
      <c r="F8" s="243">
        <f>SUM(F9:F28)</f>
        <v>2695499</v>
      </c>
      <c r="G8" s="243">
        <f t="shared" ref="G8:M8" si="0">SUM(G9:G27)</f>
        <v>0</v>
      </c>
      <c r="H8" s="243">
        <f t="shared" si="0"/>
        <v>0</v>
      </c>
      <c r="I8" s="243">
        <f t="shared" si="0"/>
        <v>0</v>
      </c>
      <c r="J8" s="243">
        <f t="shared" si="0"/>
        <v>0</v>
      </c>
      <c r="K8" s="243">
        <f t="shared" si="0"/>
        <v>0</v>
      </c>
      <c r="L8" s="243">
        <f t="shared" si="0"/>
        <v>0</v>
      </c>
      <c r="M8" s="243">
        <f t="shared" si="0"/>
        <v>0</v>
      </c>
      <c r="N8" s="244">
        <f t="shared" ref="N8:N79" si="1">SUM(D8:M8)</f>
        <v>2695499</v>
      </c>
      <c r="O8" s="245">
        <f>SUM(C8,N8)</f>
        <v>3577653</v>
      </c>
      <c r="Q8" s="153"/>
    </row>
    <row r="9" spans="1:17" ht="34.200000000000003" customHeight="1" x14ac:dyDescent="0.25">
      <c r="A9" s="162" t="s">
        <v>60</v>
      </c>
      <c r="B9" s="161" t="s">
        <v>277</v>
      </c>
      <c r="C9" s="154">
        <v>20000</v>
      </c>
      <c r="D9" s="80"/>
      <c r="E9" s="81"/>
      <c r="F9" s="82"/>
      <c r="G9" s="83"/>
      <c r="H9" s="83"/>
      <c r="I9" s="83"/>
      <c r="J9" s="83"/>
      <c r="K9" s="83"/>
      <c r="L9" s="83"/>
      <c r="M9" s="84"/>
      <c r="N9" s="85">
        <f t="shared" si="1"/>
        <v>0</v>
      </c>
      <c r="O9" s="86">
        <f t="shared" ref="O9:O80" si="2">SUM(C9,N9)</f>
        <v>20000</v>
      </c>
    </row>
    <row r="10" spans="1:17" ht="15" customHeight="1" x14ac:dyDescent="0.3">
      <c r="A10" s="152" t="s">
        <v>61</v>
      </c>
      <c r="B10" s="87" t="s">
        <v>62</v>
      </c>
      <c r="C10" s="151">
        <v>500</v>
      </c>
      <c r="D10" s="88"/>
      <c r="E10" s="84"/>
      <c r="F10" s="83"/>
      <c r="G10" s="83"/>
      <c r="H10" s="83"/>
      <c r="I10" s="83"/>
      <c r="J10" s="83"/>
      <c r="K10" s="83"/>
      <c r="L10" s="83"/>
      <c r="M10" s="84"/>
      <c r="N10" s="85">
        <f t="shared" si="1"/>
        <v>0</v>
      </c>
      <c r="O10" s="86">
        <f t="shared" si="2"/>
        <v>500</v>
      </c>
    </row>
    <row r="11" spans="1:17" ht="15" customHeight="1" x14ac:dyDescent="0.3">
      <c r="A11" s="152" t="s">
        <v>63</v>
      </c>
      <c r="B11" s="87" t="s">
        <v>64</v>
      </c>
      <c r="C11" s="151"/>
      <c r="D11" s="88"/>
      <c r="E11" s="84"/>
      <c r="F11" s="83">
        <v>242440</v>
      </c>
      <c r="G11" s="83"/>
      <c r="H11" s="83"/>
      <c r="I11" s="83"/>
      <c r="J11" s="83"/>
      <c r="K11" s="83"/>
      <c r="L11" s="83"/>
      <c r="M11" s="84"/>
      <c r="N11" s="85">
        <f t="shared" si="1"/>
        <v>242440</v>
      </c>
      <c r="O11" s="86">
        <f t="shared" si="2"/>
        <v>242440</v>
      </c>
    </row>
    <row r="12" spans="1:17" ht="15" customHeight="1" x14ac:dyDescent="0.3">
      <c r="A12" s="152" t="s">
        <v>65</v>
      </c>
      <c r="B12" s="87" t="s">
        <v>66</v>
      </c>
      <c r="C12" s="151">
        <f>731000-F12</f>
        <v>157738</v>
      </c>
      <c r="D12" s="88"/>
      <c r="E12" s="84"/>
      <c r="F12" s="92">
        <v>573262</v>
      </c>
      <c r="G12" s="83"/>
      <c r="H12" s="83"/>
      <c r="I12" s="83"/>
      <c r="J12" s="83"/>
      <c r="K12" s="83"/>
      <c r="L12" s="83"/>
      <c r="M12" s="84"/>
      <c r="N12" s="85">
        <f t="shared" si="1"/>
        <v>573262</v>
      </c>
      <c r="O12" s="86">
        <f t="shared" si="2"/>
        <v>731000</v>
      </c>
    </row>
    <row r="13" spans="1:17" ht="25.95" customHeight="1" x14ac:dyDescent="0.3">
      <c r="A13" s="152" t="s">
        <v>67</v>
      </c>
      <c r="B13" s="87" t="s">
        <v>279</v>
      </c>
      <c r="C13" s="151"/>
      <c r="D13" s="88"/>
      <c r="E13" s="84"/>
      <c r="F13" s="92">
        <f>270000+217000</f>
        <v>487000</v>
      </c>
      <c r="G13" s="83"/>
      <c r="H13" s="83"/>
      <c r="I13" s="83"/>
      <c r="J13" s="83"/>
      <c r="K13" s="83"/>
      <c r="L13" s="83"/>
      <c r="M13" s="84"/>
      <c r="N13" s="85">
        <f t="shared" si="1"/>
        <v>487000</v>
      </c>
      <c r="O13" s="86">
        <f t="shared" si="2"/>
        <v>487000</v>
      </c>
    </row>
    <row r="14" spans="1:17" ht="15" customHeight="1" x14ac:dyDescent="0.3">
      <c r="A14" s="152" t="s">
        <v>68</v>
      </c>
      <c r="B14" s="87" t="s">
        <v>69</v>
      </c>
      <c r="C14" s="151"/>
      <c r="D14" s="88"/>
      <c r="E14" s="84"/>
      <c r="F14" s="92">
        <v>199085</v>
      </c>
      <c r="G14" s="83"/>
      <c r="H14" s="83"/>
      <c r="I14" s="83"/>
      <c r="J14" s="83"/>
      <c r="K14" s="83"/>
      <c r="L14" s="83"/>
      <c r="M14" s="84"/>
      <c r="N14" s="85">
        <f t="shared" si="1"/>
        <v>199085</v>
      </c>
      <c r="O14" s="86">
        <f t="shared" si="2"/>
        <v>199085</v>
      </c>
    </row>
    <row r="15" spans="1:17" ht="31.95" customHeight="1" x14ac:dyDescent="0.25">
      <c r="A15" s="162" t="s">
        <v>70</v>
      </c>
      <c r="B15" s="163" t="s">
        <v>71</v>
      </c>
      <c r="C15" s="154">
        <v>25000</v>
      </c>
      <c r="D15" s="88"/>
      <c r="E15" s="84"/>
      <c r="F15" s="83"/>
      <c r="G15" s="83"/>
      <c r="H15" s="83"/>
      <c r="I15" s="83"/>
      <c r="J15" s="83"/>
      <c r="K15" s="83"/>
      <c r="L15" s="83"/>
      <c r="M15" s="84"/>
      <c r="N15" s="85">
        <f t="shared" si="1"/>
        <v>0</v>
      </c>
      <c r="O15" s="86">
        <f t="shared" si="2"/>
        <v>25000</v>
      </c>
    </row>
    <row r="16" spans="1:17" ht="13.2" customHeight="1" x14ac:dyDescent="0.3">
      <c r="A16" s="152" t="s">
        <v>72</v>
      </c>
      <c r="B16" s="87" t="s">
        <v>278</v>
      </c>
      <c r="C16" s="151">
        <v>48619</v>
      </c>
      <c r="D16" s="88"/>
      <c r="E16" s="84"/>
      <c r="F16" s="83"/>
      <c r="G16" s="83"/>
      <c r="H16" s="83"/>
      <c r="I16" s="83"/>
      <c r="J16" s="83"/>
      <c r="K16" s="83"/>
      <c r="L16" s="83"/>
      <c r="M16" s="84"/>
      <c r="N16" s="85">
        <f t="shared" si="1"/>
        <v>0</v>
      </c>
      <c r="O16" s="86">
        <f t="shared" si="2"/>
        <v>48619</v>
      </c>
    </row>
    <row r="17" spans="1:15" ht="15" customHeight="1" x14ac:dyDescent="0.3">
      <c r="A17" s="152" t="s">
        <v>73</v>
      </c>
      <c r="B17" s="87" t="s">
        <v>76</v>
      </c>
      <c r="C17" s="151"/>
      <c r="D17" s="88"/>
      <c r="E17" s="84"/>
      <c r="F17" s="83">
        <v>1193712</v>
      </c>
      <c r="G17" s="83"/>
      <c r="H17" s="83"/>
      <c r="I17" s="83"/>
      <c r="J17" s="83"/>
      <c r="K17" s="83"/>
      <c r="L17" s="83"/>
      <c r="M17" s="84"/>
      <c r="N17" s="85">
        <f t="shared" si="1"/>
        <v>1193712</v>
      </c>
      <c r="O17" s="86">
        <f t="shared" si="2"/>
        <v>1193712</v>
      </c>
    </row>
    <row r="18" spans="1:15" ht="15" customHeight="1" x14ac:dyDescent="0.3">
      <c r="A18" s="152" t="s">
        <v>75</v>
      </c>
      <c r="B18" s="87" t="s">
        <v>78</v>
      </c>
      <c r="C18" s="151">
        <v>56780</v>
      </c>
      <c r="D18" s="88"/>
      <c r="E18" s="84"/>
      <c r="F18" s="83"/>
      <c r="G18" s="83"/>
      <c r="H18" s="83"/>
      <c r="I18" s="83"/>
      <c r="J18" s="83"/>
      <c r="K18" s="83"/>
      <c r="L18" s="83"/>
      <c r="M18" s="84"/>
      <c r="N18" s="85">
        <f t="shared" si="1"/>
        <v>0</v>
      </c>
      <c r="O18" s="86">
        <f t="shared" si="2"/>
        <v>56780</v>
      </c>
    </row>
    <row r="19" spans="1:15" ht="15" customHeight="1" x14ac:dyDescent="0.3">
      <c r="A19" s="152" t="s">
        <v>77</v>
      </c>
      <c r="B19" s="87" t="s">
        <v>80</v>
      </c>
      <c r="C19" s="151">
        <v>40000</v>
      </c>
      <c r="D19" s="88"/>
      <c r="E19" s="84"/>
      <c r="F19" s="83"/>
      <c r="G19" s="83"/>
      <c r="H19" s="83"/>
      <c r="I19" s="83"/>
      <c r="J19" s="83"/>
      <c r="K19" s="83"/>
      <c r="L19" s="83"/>
      <c r="M19" s="84"/>
      <c r="N19" s="85">
        <f t="shared" si="1"/>
        <v>0</v>
      </c>
      <c r="O19" s="86">
        <f t="shared" si="2"/>
        <v>40000</v>
      </c>
    </row>
    <row r="20" spans="1:15" ht="15" customHeight="1" x14ac:dyDescent="0.3">
      <c r="A20" s="152" t="s">
        <v>79</v>
      </c>
      <c r="B20" s="87" t="s">
        <v>82</v>
      </c>
      <c r="C20" s="151">
        <v>10000</v>
      </c>
      <c r="D20" s="88"/>
      <c r="E20" s="84"/>
      <c r="F20" s="83"/>
      <c r="G20" s="83"/>
      <c r="H20" s="83"/>
      <c r="I20" s="83"/>
      <c r="J20" s="83"/>
      <c r="K20" s="83"/>
      <c r="L20" s="83"/>
      <c r="M20" s="84"/>
      <c r="N20" s="85">
        <f t="shared" si="1"/>
        <v>0</v>
      </c>
      <c r="O20" s="86">
        <f t="shared" si="2"/>
        <v>10000</v>
      </c>
    </row>
    <row r="21" spans="1:15" ht="15" customHeight="1" x14ac:dyDescent="0.3">
      <c r="A21" s="152" t="s">
        <v>81</v>
      </c>
      <c r="B21" s="87" t="s">
        <v>84</v>
      </c>
      <c r="C21" s="151">
        <v>100000</v>
      </c>
      <c r="D21" s="88"/>
      <c r="E21" s="84"/>
      <c r="F21" s="83"/>
      <c r="G21" s="83"/>
      <c r="H21" s="83"/>
      <c r="I21" s="83"/>
      <c r="J21" s="83"/>
      <c r="K21" s="83"/>
      <c r="L21" s="83"/>
      <c r="M21" s="84"/>
      <c r="N21" s="85">
        <f t="shared" ref="N21:N22" si="3">SUM(D21:M21)</f>
        <v>0</v>
      </c>
      <c r="O21" s="86">
        <f t="shared" ref="O21:O22" si="4">SUM(C21,N21)</f>
        <v>100000</v>
      </c>
    </row>
    <row r="22" spans="1:15" ht="26.25" customHeight="1" x14ac:dyDescent="0.3">
      <c r="A22" s="152" t="s">
        <v>83</v>
      </c>
      <c r="B22" s="87" t="s">
        <v>86</v>
      </c>
      <c r="C22" s="151">
        <v>21000</v>
      </c>
      <c r="D22" s="88"/>
      <c r="E22" s="84"/>
      <c r="F22" s="83"/>
      <c r="G22" s="83"/>
      <c r="H22" s="83"/>
      <c r="I22" s="83"/>
      <c r="J22" s="83"/>
      <c r="K22" s="83"/>
      <c r="L22" s="83"/>
      <c r="M22" s="84"/>
      <c r="N22" s="85">
        <f t="shared" si="3"/>
        <v>0</v>
      </c>
      <c r="O22" s="86">
        <f t="shared" si="4"/>
        <v>21000</v>
      </c>
    </row>
    <row r="23" spans="1:15" ht="15" customHeight="1" x14ac:dyDescent="0.3">
      <c r="A23" s="79" t="s">
        <v>85</v>
      </c>
      <c r="B23" s="87" t="s">
        <v>90</v>
      </c>
      <c r="C23" s="151">
        <v>9733</v>
      </c>
      <c r="D23" s="88"/>
      <c r="E23" s="84"/>
      <c r="F23" s="83"/>
      <c r="G23" s="83"/>
      <c r="H23" s="83"/>
      <c r="I23" s="83"/>
      <c r="J23" s="83"/>
      <c r="K23" s="83"/>
      <c r="L23" s="83"/>
      <c r="M23" s="84"/>
      <c r="N23" s="85">
        <f t="shared" si="1"/>
        <v>0</v>
      </c>
      <c r="O23" s="86">
        <f t="shared" si="2"/>
        <v>9733</v>
      </c>
    </row>
    <row r="24" spans="1:15" ht="15" customHeight="1" x14ac:dyDescent="0.3">
      <c r="A24" s="152" t="s">
        <v>87</v>
      </c>
      <c r="B24" s="87" t="s">
        <v>92</v>
      </c>
      <c r="C24" s="164">
        <v>5000</v>
      </c>
      <c r="D24" s="88"/>
      <c r="E24" s="84"/>
      <c r="F24" s="83"/>
      <c r="G24" s="83"/>
      <c r="H24" s="83"/>
      <c r="I24" s="83"/>
      <c r="J24" s="83"/>
      <c r="K24" s="83"/>
      <c r="L24" s="83"/>
      <c r="M24" s="84"/>
      <c r="N24" s="85">
        <f t="shared" si="1"/>
        <v>0</v>
      </c>
      <c r="O24" s="86">
        <f t="shared" si="2"/>
        <v>5000</v>
      </c>
    </row>
    <row r="25" spans="1:15" ht="15" customHeight="1" x14ac:dyDescent="0.3">
      <c r="A25" s="152" t="s">
        <v>89</v>
      </c>
      <c r="B25" s="87" t="s">
        <v>272</v>
      </c>
      <c r="C25" s="151">
        <v>40000</v>
      </c>
      <c r="D25" s="88"/>
      <c r="E25" s="84"/>
      <c r="F25" s="83"/>
      <c r="G25" s="83"/>
      <c r="H25" s="83"/>
      <c r="I25" s="83"/>
      <c r="J25" s="83"/>
      <c r="K25" s="83"/>
      <c r="L25" s="83"/>
      <c r="M25" s="84"/>
      <c r="N25" s="85">
        <f>SUM(D25:M25)</f>
        <v>0</v>
      </c>
      <c r="O25" s="86">
        <f>SUM(C25,N25)</f>
        <v>40000</v>
      </c>
    </row>
    <row r="26" spans="1:15" ht="27" customHeight="1" x14ac:dyDescent="0.25">
      <c r="A26" s="162" t="s">
        <v>91</v>
      </c>
      <c r="B26" s="87" t="s">
        <v>273</v>
      </c>
      <c r="C26" s="154">
        <v>66000</v>
      </c>
      <c r="D26" s="88"/>
      <c r="E26" s="84"/>
      <c r="F26" s="83"/>
      <c r="G26" s="83"/>
      <c r="H26" s="83"/>
      <c r="I26" s="83"/>
      <c r="J26" s="83"/>
      <c r="K26" s="83"/>
      <c r="L26" s="83"/>
      <c r="M26" s="84"/>
      <c r="N26" s="85">
        <f>SUM(D26:M26)</f>
        <v>0</v>
      </c>
      <c r="O26" s="86">
        <f>SUM(C26,N26)</f>
        <v>66000</v>
      </c>
    </row>
    <row r="27" spans="1:15" ht="15" customHeight="1" x14ac:dyDescent="0.3">
      <c r="A27" s="152" t="s">
        <v>93</v>
      </c>
      <c r="B27" s="87" t="s">
        <v>274</v>
      </c>
      <c r="C27" s="151">
        <v>224784</v>
      </c>
      <c r="D27" s="88"/>
      <c r="E27" s="84"/>
      <c r="F27" s="83"/>
      <c r="G27" s="83"/>
      <c r="H27" s="83"/>
      <c r="I27" s="83"/>
      <c r="J27" s="83"/>
      <c r="K27" s="83"/>
      <c r="L27" s="83"/>
      <c r="M27" s="84"/>
      <c r="N27" s="85">
        <f t="shared" ref="N27" si="5">SUM(D27:M27)</f>
        <v>0</v>
      </c>
      <c r="O27" s="86">
        <f t="shared" si="2"/>
        <v>224784</v>
      </c>
    </row>
    <row r="28" spans="1:15" ht="15" customHeight="1" x14ac:dyDescent="0.3">
      <c r="A28" s="152" t="s">
        <v>257</v>
      </c>
      <c r="B28" s="87" t="s">
        <v>246</v>
      </c>
      <c r="C28" s="151">
        <v>45000</v>
      </c>
      <c r="D28" s="88"/>
      <c r="E28" s="84"/>
      <c r="F28" s="83"/>
      <c r="G28" s="83"/>
      <c r="H28" s="83"/>
      <c r="I28" s="83"/>
      <c r="J28" s="83"/>
      <c r="K28" s="83"/>
      <c r="L28" s="83"/>
      <c r="M28" s="84"/>
      <c r="N28" s="85">
        <f t="shared" ref="N28" si="6">SUM(D28:M28)</f>
        <v>0</v>
      </c>
      <c r="O28" s="86">
        <f t="shared" si="2"/>
        <v>45000</v>
      </c>
    </row>
    <row r="29" spans="1:15" ht="15" customHeight="1" x14ac:dyDescent="0.3">
      <c r="A29" s="152" t="s">
        <v>258</v>
      </c>
      <c r="B29" s="87" t="s">
        <v>151</v>
      </c>
      <c r="C29" s="166">
        <v>12000</v>
      </c>
      <c r="D29" s="88"/>
      <c r="E29" s="84"/>
      <c r="F29" s="83"/>
      <c r="G29" s="83"/>
      <c r="H29" s="83"/>
      <c r="I29" s="83"/>
      <c r="J29" s="83"/>
      <c r="K29" s="83"/>
      <c r="L29" s="83"/>
      <c r="M29" s="84"/>
      <c r="N29" s="85">
        <f t="shared" ref="N29" si="7">SUM(D29:M29)</f>
        <v>0</v>
      </c>
      <c r="O29" s="86">
        <f t="shared" ref="O29" si="8">SUM(C29,N29)</f>
        <v>12000</v>
      </c>
    </row>
    <row r="30" spans="1:15" ht="17.25" customHeight="1" x14ac:dyDescent="0.25">
      <c r="A30" s="248" t="s">
        <v>0</v>
      </c>
      <c r="B30" s="249" t="s">
        <v>94</v>
      </c>
      <c r="C30" s="246">
        <f>C31+C63+C78</f>
        <v>735646</v>
      </c>
      <c r="D30" s="247"/>
      <c r="E30" s="243"/>
      <c r="F30" s="243">
        <f>F57</f>
        <v>0</v>
      </c>
      <c r="G30" s="243"/>
      <c r="H30" s="243"/>
      <c r="I30" s="243"/>
      <c r="J30" s="243"/>
      <c r="K30" s="243"/>
      <c r="L30" s="243"/>
      <c r="M30" s="243"/>
      <c r="N30" s="244">
        <f t="shared" si="1"/>
        <v>0</v>
      </c>
      <c r="O30" s="245">
        <f t="shared" si="2"/>
        <v>735646</v>
      </c>
    </row>
    <row r="31" spans="1:15" ht="17.25" customHeight="1" x14ac:dyDescent="0.25">
      <c r="A31" s="79" t="s">
        <v>95</v>
      </c>
      <c r="B31" s="87" t="s">
        <v>96</v>
      </c>
      <c r="C31" s="165">
        <f>C32+C42+C47+C52+C53</f>
        <v>487563</v>
      </c>
      <c r="D31" s="88"/>
      <c r="E31" s="84"/>
      <c r="F31" s="83">
        <f>F32+F42+F47+F52+F53</f>
        <v>0</v>
      </c>
      <c r="G31" s="83"/>
      <c r="H31" s="83"/>
      <c r="I31" s="83"/>
      <c r="J31" s="83"/>
      <c r="K31" s="83"/>
      <c r="L31" s="83"/>
      <c r="M31" s="84"/>
      <c r="N31" s="85">
        <f t="shared" si="1"/>
        <v>0</v>
      </c>
      <c r="O31" s="86">
        <f t="shared" si="2"/>
        <v>487563</v>
      </c>
    </row>
    <row r="32" spans="1:15" ht="17.25" customHeight="1" x14ac:dyDescent="0.3">
      <c r="A32" s="79" t="s">
        <v>97</v>
      </c>
      <c r="B32" s="87" t="s">
        <v>98</v>
      </c>
      <c r="C32" s="151">
        <f>C33+C34+C38+C41</f>
        <v>79373</v>
      </c>
      <c r="D32" s="88"/>
      <c r="E32" s="84"/>
      <c r="F32" s="83"/>
      <c r="G32" s="83"/>
      <c r="H32" s="83"/>
      <c r="I32" s="83"/>
      <c r="J32" s="83"/>
      <c r="K32" s="83"/>
      <c r="L32" s="83"/>
      <c r="M32" s="84"/>
      <c r="N32" s="85">
        <f t="shared" si="1"/>
        <v>0</v>
      </c>
      <c r="O32" s="86">
        <f t="shared" si="2"/>
        <v>79373</v>
      </c>
    </row>
    <row r="33" spans="1:15" ht="17.25" customHeight="1" x14ac:dyDescent="0.3">
      <c r="A33" s="79" t="s">
        <v>99</v>
      </c>
      <c r="B33" s="87" t="s">
        <v>247</v>
      </c>
      <c r="C33" s="151">
        <v>0</v>
      </c>
      <c r="D33" s="88"/>
      <c r="E33" s="84"/>
      <c r="F33" s="83"/>
      <c r="G33" s="83"/>
      <c r="H33" s="83"/>
      <c r="I33" s="83"/>
      <c r="J33" s="83"/>
      <c r="K33" s="83"/>
      <c r="L33" s="83"/>
      <c r="M33" s="84"/>
      <c r="N33" s="85">
        <f t="shared" si="1"/>
        <v>0</v>
      </c>
      <c r="O33" s="86">
        <f t="shared" si="2"/>
        <v>0</v>
      </c>
    </row>
    <row r="34" spans="1:15" ht="17.25" customHeight="1" x14ac:dyDescent="0.3">
      <c r="A34" s="79" t="s">
        <v>101</v>
      </c>
      <c r="B34" s="87" t="s">
        <v>248</v>
      </c>
      <c r="C34" s="151">
        <f>C35+C36+C37</f>
        <v>47000</v>
      </c>
      <c r="D34" s="88"/>
      <c r="E34" s="84"/>
      <c r="F34" s="83"/>
      <c r="G34" s="83"/>
      <c r="H34" s="83"/>
      <c r="I34" s="83"/>
      <c r="J34" s="83"/>
      <c r="K34" s="83"/>
      <c r="L34" s="83"/>
      <c r="M34" s="84"/>
      <c r="N34" s="85">
        <f t="shared" si="1"/>
        <v>0</v>
      </c>
      <c r="O34" s="86">
        <f t="shared" si="2"/>
        <v>47000</v>
      </c>
    </row>
    <row r="35" spans="1:15" ht="17.25" customHeight="1" x14ac:dyDescent="0.3">
      <c r="A35" s="79" t="s">
        <v>102</v>
      </c>
      <c r="B35" s="87" t="s">
        <v>103</v>
      </c>
      <c r="C35" s="151">
        <v>36500</v>
      </c>
      <c r="D35" s="88"/>
      <c r="E35" s="84"/>
      <c r="F35" s="83"/>
      <c r="G35" s="83"/>
      <c r="H35" s="83"/>
      <c r="I35" s="83"/>
      <c r="J35" s="83"/>
      <c r="K35" s="83"/>
      <c r="L35" s="83"/>
      <c r="M35" s="84"/>
      <c r="N35" s="85">
        <f t="shared" si="1"/>
        <v>0</v>
      </c>
      <c r="O35" s="86">
        <f t="shared" si="2"/>
        <v>36500</v>
      </c>
    </row>
    <row r="36" spans="1:15" ht="17.25" customHeight="1" x14ac:dyDescent="0.3">
      <c r="A36" s="79" t="s">
        <v>104</v>
      </c>
      <c r="B36" s="87" t="s">
        <v>105</v>
      </c>
      <c r="C36" s="151">
        <v>500</v>
      </c>
      <c r="D36" s="88"/>
      <c r="E36" s="84"/>
      <c r="F36" s="83"/>
      <c r="G36" s="83"/>
      <c r="H36" s="83"/>
      <c r="I36" s="83"/>
      <c r="J36" s="83"/>
      <c r="K36" s="83"/>
      <c r="L36" s="83"/>
      <c r="M36" s="84"/>
      <c r="N36" s="85">
        <f t="shared" si="1"/>
        <v>0</v>
      </c>
      <c r="O36" s="86">
        <f t="shared" si="2"/>
        <v>500</v>
      </c>
    </row>
    <row r="37" spans="1:15" ht="17.25" customHeight="1" x14ac:dyDescent="0.3">
      <c r="A37" s="79" t="s">
        <v>106</v>
      </c>
      <c r="B37" s="87" t="s">
        <v>107</v>
      </c>
      <c r="C37" s="151">
        <v>10000</v>
      </c>
      <c r="D37" s="88"/>
      <c r="E37" s="84"/>
      <c r="F37" s="83"/>
      <c r="G37" s="83"/>
      <c r="H37" s="83"/>
      <c r="I37" s="83"/>
      <c r="J37" s="83"/>
      <c r="K37" s="83"/>
      <c r="L37" s="83"/>
      <c r="M37" s="84"/>
      <c r="N37" s="85">
        <f t="shared" si="1"/>
        <v>0</v>
      </c>
      <c r="O37" s="86">
        <f t="shared" si="2"/>
        <v>10000</v>
      </c>
    </row>
    <row r="38" spans="1:15" ht="17.25" customHeight="1" x14ac:dyDescent="0.3">
      <c r="A38" s="79" t="s">
        <v>108</v>
      </c>
      <c r="B38" s="87" t="s">
        <v>109</v>
      </c>
      <c r="C38" s="151">
        <f>C39+C40</f>
        <v>22373</v>
      </c>
      <c r="D38" s="88"/>
      <c r="E38" s="84"/>
      <c r="F38" s="83"/>
      <c r="G38" s="83"/>
      <c r="H38" s="83"/>
      <c r="I38" s="83"/>
      <c r="J38" s="83"/>
      <c r="K38" s="83"/>
      <c r="L38" s="83"/>
      <c r="M38" s="84"/>
      <c r="N38" s="85">
        <f t="shared" si="1"/>
        <v>0</v>
      </c>
      <c r="O38" s="86">
        <f t="shared" si="2"/>
        <v>22373</v>
      </c>
    </row>
    <row r="39" spans="1:15" ht="17.25" customHeight="1" x14ac:dyDescent="0.3">
      <c r="A39" s="79" t="s">
        <v>110</v>
      </c>
      <c r="B39" s="87" t="s">
        <v>111</v>
      </c>
      <c r="C39" s="151">
        <v>18873</v>
      </c>
      <c r="D39" s="88"/>
      <c r="E39" s="84"/>
      <c r="F39" s="83"/>
      <c r="G39" s="83"/>
      <c r="H39" s="83"/>
      <c r="I39" s="83"/>
      <c r="J39" s="83"/>
      <c r="K39" s="83"/>
      <c r="L39" s="83"/>
      <c r="M39" s="84"/>
      <c r="N39" s="85">
        <f t="shared" si="1"/>
        <v>0</v>
      </c>
      <c r="O39" s="86">
        <f t="shared" si="2"/>
        <v>18873</v>
      </c>
    </row>
    <row r="40" spans="1:15" ht="17.25" customHeight="1" x14ac:dyDescent="0.3">
      <c r="A40" s="79" t="s">
        <v>112</v>
      </c>
      <c r="B40" s="87" t="s">
        <v>249</v>
      </c>
      <c r="C40" s="151">
        <v>3500</v>
      </c>
      <c r="D40" s="88"/>
      <c r="E40" s="84"/>
      <c r="F40" s="83"/>
      <c r="G40" s="83"/>
      <c r="H40" s="83"/>
      <c r="I40" s="83"/>
      <c r="J40" s="83"/>
      <c r="K40" s="83"/>
      <c r="L40" s="83"/>
      <c r="M40" s="84"/>
      <c r="N40" s="85"/>
      <c r="O40" s="86">
        <f t="shared" si="2"/>
        <v>3500</v>
      </c>
    </row>
    <row r="41" spans="1:15" ht="17.25" customHeight="1" x14ac:dyDescent="0.3">
      <c r="A41" s="79" t="s">
        <v>113</v>
      </c>
      <c r="B41" s="87" t="s">
        <v>114</v>
      </c>
      <c r="C41" s="151">
        <v>10000</v>
      </c>
      <c r="D41" s="88"/>
      <c r="E41" s="84"/>
      <c r="F41" s="83"/>
      <c r="G41" s="83"/>
      <c r="H41" s="83"/>
      <c r="I41" s="83"/>
      <c r="J41" s="83"/>
      <c r="K41" s="83"/>
      <c r="L41" s="83"/>
      <c r="M41" s="84"/>
      <c r="N41" s="85">
        <f t="shared" si="1"/>
        <v>0</v>
      </c>
      <c r="O41" s="86">
        <f t="shared" si="2"/>
        <v>10000</v>
      </c>
    </row>
    <row r="42" spans="1:15" ht="17.25" customHeight="1" x14ac:dyDescent="0.3">
      <c r="A42" s="79" t="s">
        <v>115</v>
      </c>
      <c r="B42" s="87" t="s">
        <v>116</v>
      </c>
      <c r="C42" s="151">
        <f>C43+C44+C45+C46</f>
        <v>21500</v>
      </c>
      <c r="D42" s="88"/>
      <c r="E42" s="84"/>
      <c r="F42" s="83"/>
      <c r="G42" s="83"/>
      <c r="H42" s="83"/>
      <c r="I42" s="83"/>
      <c r="J42" s="83"/>
      <c r="K42" s="83"/>
      <c r="L42" s="83"/>
      <c r="M42" s="84"/>
      <c r="N42" s="85">
        <f t="shared" si="1"/>
        <v>0</v>
      </c>
      <c r="O42" s="86">
        <f t="shared" si="2"/>
        <v>21500</v>
      </c>
    </row>
    <row r="43" spans="1:15" ht="17.25" customHeight="1" x14ac:dyDescent="0.3">
      <c r="A43" s="79" t="s">
        <v>117</v>
      </c>
      <c r="B43" s="87" t="s">
        <v>118</v>
      </c>
      <c r="C43" s="151">
        <v>3000</v>
      </c>
      <c r="D43" s="88"/>
      <c r="E43" s="84"/>
      <c r="F43" s="83"/>
      <c r="G43" s="83"/>
      <c r="H43" s="83"/>
      <c r="I43" s="83"/>
      <c r="J43" s="83"/>
      <c r="K43" s="83"/>
      <c r="L43" s="83"/>
      <c r="M43" s="84"/>
      <c r="N43" s="85">
        <f t="shared" si="1"/>
        <v>0</v>
      </c>
      <c r="O43" s="86">
        <f t="shared" si="2"/>
        <v>3000</v>
      </c>
    </row>
    <row r="44" spans="1:15" ht="17.25" customHeight="1" x14ac:dyDescent="0.3">
      <c r="A44" s="79" t="s">
        <v>119</v>
      </c>
      <c r="B44" s="87" t="s">
        <v>120</v>
      </c>
      <c r="C44" s="151">
        <v>500</v>
      </c>
      <c r="D44" s="88"/>
      <c r="E44" s="84"/>
      <c r="F44" s="83"/>
      <c r="G44" s="83"/>
      <c r="H44" s="83"/>
      <c r="I44" s="83"/>
      <c r="J44" s="83"/>
      <c r="K44" s="83"/>
      <c r="L44" s="83"/>
      <c r="M44" s="84"/>
      <c r="N44" s="85">
        <f t="shared" si="1"/>
        <v>0</v>
      </c>
      <c r="O44" s="86">
        <f t="shared" si="2"/>
        <v>500</v>
      </c>
    </row>
    <row r="45" spans="1:15" ht="17.25" customHeight="1" x14ac:dyDescent="0.3">
      <c r="A45" s="79" t="s">
        <v>121</v>
      </c>
      <c r="B45" s="87" t="s">
        <v>122</v>
      </c>
      <c r="C45" s="151">
        <v>3000</v>
      </c>
      <c r="D45" s="88"/>
      <c r="E45" s="84"/>
      <c r="F45" s="83"/>
      <c r="G45" s="83"/>
      <c r="H45" s="83"/>
      <c r="I45" s="83"/>
      <c r="J45" s="83"/>
      <c r="K45" s="83"/>
      <c r="L45" s="83"/>
      <c r="M45" s="84"/>
      <c r="N45" s="85">
        <f t="shared" si="1"/>
        <v>0</v>
      </c>
      <c r="O45" s="86">
        <f t="shared" si="2"/>
        <v>3000</v>
      </c>
    </row>
    <row r="46" spans="1:15" ht="17.25" customHeight="1" x14ac:dyDescent="0.3">
      <c r="A46" s="79" t="s">
        <v>261</v>
      </c>
      <c r="B46" s="87" t="s">
        <v>276</v>
      </c>
      <c r="C46" s="151">
        <v>15000</v>
      </c>
      <c r="D46" s="88"/>
      <c r="E46" s="84"/>
      <c r="F46" s="83"/>
      <c r="G46" s="83"/>
      <c r="H46" s="83"/>
      <c r="I46" s="83"/>
      <c r="J46" s="83"/>
      <c r="K46" s="83"/>
      <c r="L46" s="83"/>
      <c r="M46" s="84"/>
      <c r="N46" s="85">
        <f t="shared" ref="N46" si="9">SUM(D46:M46)</f>
        <v>0</v>
      </c>
      <c r="O46" s="86">
        <f t="shared" ref="O46" si="10">SUM(C46,N46)</f>
        <v>15000</v>
      </c>
    </row>
    <row r="47" spans="1:15" ht="17.25" customHeight="1" x14ac:dyDescent="0.3">
      <c r="A47" s="79" t="s">
        <v>123</v>
      </c>
      <c r="B47" s="87" t="s">
        <v>124</v>
      </c>
      <c r="C47" s="151">
        <f>C48+C49+C50+C51</f>
        <v>27495</v>
      </c>
      <c r="D47" s="88"/>
      <c r="E47" s="84"/>
      <c r="F47" s="83"/>
      <c r="G47" s="83"/>
      <c r="H47" s="83"/>
      <c r="I47" s="83"/>
      <c r="J47" s="83"/>
      <c r="K47" s="83"/>
      <c r="L47" s="83"/>
      <c r="M47" s="84"/>
      <c r="N47" s="85">
        <f t="shared" si="1"/>
        <v>0</v>
      </c>
      <c r="O47" s="86">
        <f t="shared" si="2"/>
        <v>27495</v>
      </c>
    </row>
    <row r="48" spans="1:15" ht="17.25" customHeight="1" x14ac:dyDescent="0.3">
      <c r="A48" s="79" t="s">
        <v>125</v>
      </c>
      <c r="B48" s="87" t="s">
        <v>126</v>
      </c>
      <c r="C48" s="151">
        <v>5000</v>
      </c>
      <c r="D48" s="88"/>
      <c r="E48" s="84"/>
      <c r="F48" s="83"/>
      <c r="G48" s="83"/>
      <c r="H48" s="83"/>
      <c r="I48" s="83"/>
      <c r="J48" s="83"/>
      <c r="K48" s="83"/>
      <c r="L48" s="83"/>
      <c r="M48" s="84"/>
      <c r="N48" s="85">
        <f t="shared" si="1"/>
        <v>0</v>
      </c>
      <c r="O48" s="86">
        <f t="shared" si="2"/>
        <v>5000</v>
      </c>
    </row>
    <row r="49" spans="1:15" ht="17.25" customHeight="1" x14ac:dyDescent="0.3">
      <c r="A49" s="79" t="s">
        <v>127</v>
      </c>
      <c r="B49" s="87" t="s">
        <v>128</v>
      </c>
      <c r="C49" s="151">
        <v>15000</v>
      </c>
      <c r="D49" s="88"/>
      <c r="E49" s="84"/>
      <c r="F49" s="83"/>
      <c r="G49" s="83"/>
      <c r="H49" s="83"/>
      <c r="I49" s="83"/>
      <c r="J49" s="83"/>
      <c r="K49" s="83"/>
      <c r="L49" s="83"/>
      <c r="M49" s="84"/>
      <c r="N49" s="85">
        <f t="shared" si="1"/>
        <v>0</v>
      </c>
      <c r="O49" s="86">
        <f t="shared" si="2"/>
        <v>15000</v>
      </c>
    </row>
    <row r="50" spans="1:15" ht="17.25" customHeight="1" x14ac:dyDescent="0.3">
      <c r="A50" s="79" t="s">
        <v>129</v>
      </c>
      <c r="B50" s="87" t="s">
        <v>130</v>
      </c>
      <c r="C50" s="151">
        <v>5000</v>
      </c>
      <c r="D50" s="88"/>
      <c r="E50" s="84"/>
      <c r="F50" s="83"/>
      <c r="G50" s="83"/>
      <c r="H50" s="83"/>
      <c r="I50" s="83"/>
      <c r="J50" s="83"/>
      <c r="K50" s="83"/>
      <c r="L50" s="83"/>
      <c r="M50" s="84"/>
      <c r="N50" s="85">
        <f t="shared" si="1"/>
        <v>0</v>
      </c>
      <c r="O50" s="86">
        <f t="shared" si="2"/>
        <v>5000</v>
      </c>
    </row>
    <row r="51" spans="1:15" ht="17.25" customHeight="1" x14ac:dyDescent="0.3">
      <c r="A51" s="79" t="s">
        <v>131</v>
      </c>
      <c r="B51" s="87" t="s">
        <v>132</v>
      </c>
      <c r="C51" s="151">
        <v>2495</v>
      </c>
      <c r="D51" s="88"/>
      <c r="E51" s="84"/>
      <c r="F51" s="83"/>
      <c r="G51" s="83"/>
      <c r="H51" s="83"/>
      <c r="I51" s="83"/>
      <c r="J51" s="83"/>
      <c r="K51" s="83"/>
      <c r="L51" s="83"/>
      <c r="M51" s="84"/>
      <c r="N51" s="85">
        <f t="shared" si="1"/>
        <v>0</v>
      </c>
      <c r="O51" s="86">
        <f t="shared" si="2"/>
        <v>2495</v>
      </c>
    </row>
    <row r="52" spans="1:15" ht="17.25" customHeight="1" x14ac:dyDescent="0.3">
      <c r="A52" s="79" t="s">
        <v>133</v>
      </c>
      <c r="B52" s="87" t="s">
        <v>134</v>
      </c>
      <c r="C52" s="151">
        <v>1500</v>
      </c>
      <c r="D52" s="88"/>
      <c r="E52" s="84"/>
      <c r="F52" s="83"/>
      <c r="G52" s="83"/>
      <c r="H52" s="83"/>
      <c r="I52" s="83"/>
      <c r="J52" s="83"/>
      <c r="K52" s="83"/>
      <c r="L52" s="83"/>
      <c r="M52" s="84"/>
      <c r="N52" s="85">
        <f t="shared" si="1"/>
        <v>0</v>
      </c>
      <c r="O52" s="86">
        <f t="shared" si="2"/>
        <v>1500</v>
      </c>
    </row>
    <row r="53" spans="1:15" ht="17.25" customHeight="1" x14ac:dyDescent="0.3">
      <c r="A53" s="79" t="s">
        <v>135</v>
      </c>
      <c r="B53" s="87" t="s">
        <v>136</v>
      </c>
      <c r="C53" s="151">
        <f>C54+C55+C56+C57+C58+C59+C60+C61+C62</f>
        <v>357695</v>
      </c>
      <c r="D53" s="88"/>
      <c r="E53" s="84"/>
      <c r="F53" s="171"/>
      <c r="G53" s="82"/>
      <c r="H53" s="83"/>
      <c r="I53" s="83"/>
      <c r="J53" s="83"/>
      <c r="K53" s="83"/>
      <c r="L53" s="83"/>
      <c r="M53" s="84"/>
      <c r="N53" s="85">
        <f t="shared" si="1"/>
        <v>0</v>
      </c>
      <c r="O53" s="86">
        <f t="shared" si="2"/>
        <v>357695</v>
      </c>
    </row>
    <row r="54" spans="1:15" ht="17.25" customHeight="1" x14ac:dyDescent="0.3">
      <c r="A54" s="79" t="s">
        <v>250</v>
      </c>
      <c r="B54" s="87" t="s">
        <v>137</v>
      </c>
      <c r="C54" s="151">
        <v>15000</v>
      </c>
      <c r="D54" s="88"/>
      <c r="E54" s="84"/>
      <c r="F54" s="83"/>
      <c r="G54" s="83"/>
      <c r="H54" s="83"/>
      <c r="I54" s="83"/>
      <c r="J54" s="83"/>
      <c r="K54" s="83"/>
      <c r="L54" s="83"/>
      <c r="M54" s="84"/>
      <c r="N54" s="85">
        <f t="shared" si="1"/>
        <v>0</v>
      </c>
      <c r="O54" s="86">
        <f t="shared" si="2"/>
        <v>15000</v>
      </c>
    </row>
    <row r="55" spans="1:15" ht="21" customHeight="1" x14ac:dyDescent="0.3">
      <c r="A55" s="79" t="s">
        <v>138</v>
      </c>
      <c r="B55" s="87" t="s">
        <v>251</v>
      </c>
      <c r="C55" s="151">
        <v>5000</v>
      </c>
      <c r="D55" s="88"/>
      <c r="E55" s="84"/>
      <c r="F55" s="83"/>
      <c r="G55" s="83"/>
      <c r="H55" s="83"/>
      <c r="I55" s="83"/>
      <c r="J55" s="83"/>
      <c r="K55" s="83"/>
      <c r="L55" s="83"/>
      <c r="M55" s="84"/>
      <c r="N55" s="85">
        <f t="shared" si="1"/>
        <v>0</v>
      </c>
      <c r="O55" s="86">
        <f t="shared" si="2"/>
        <v>5000</v>
      </c>
    </row>
    <row r="56" spans="1:15" ht="17.25" customHeight="1" x14ac:dyDescent="0.3">
      <c r="A56" s="79" t="s">
        <v>139</v>
      </c>
      <c r="B56" s="87" t="s">
        <v>140</v>
      </c>
      <c r="C56" s="151">
        <v>30000</v>
      </c>
      <c r="D56" s="88"/>
      <c r="E56" s="84"/>
      <c r="F56" s="83"/>
      <c r="G56" s="83"/>
      <c r="H56" s="83"/>
      <c r="I56" s="83"/>
      <c r="J56" s="83"/>
      <c r="K56" s="83"/>
      <c r="L56" s="83"/>
      <c r="M56" s="84"/>
      <c r="N56" s="85">
        <f t="shared" si="1"/>
        <v>0</v>
      </c>
      <c r="O56" s="86">
        <f t="shared" si="2"/>
        <v>30000</v>
      </c>
    </row>
    <row r="57" spans="1:15" ht="17.25" customHeight="1" x14ac:dyDescent="0.3">
      <c r="A57" s="89" t="s">
        <v>141</v>
      </c>
      <c r="B57" s="87" t="s">
        <v>142</v>
      </c>
      <c r="C57" s="164">
        <v>197840</v>
      </c>
      <c r="D57" s="90"/>
      <c r="E57" s="91"/>
      <c r="F57" s="92"/>
      <c r="G57" s="92"/>
      <c r="H57" s="92"/>
      <c r="I57" s="92"/>
      <c r="J57" s="92"/>
      <c r="K57" s="92"/>
      <c r="L57" s="92"/>
      <c r="M57" s="91"/>
      <c r="N57" s="93">
        <f t="shared" si="1"/>
        <v>0</v>
      </c>
      <c r="O57" s="94">
        <f t="shared" si="2"/>
        <v>197840</v>
      </c>
    </row>
    <row r="58" spans="1:15" ht="17.25" customHeight="1" x14ac:dyDescent="0.3">
      <c r="A58" s="79" t="s">
        <v>143</v>
      </c>
      <c r="B58" s="87" t="s">
        <v>282</v>
      </c>
      <c r="C58" s="151">
        <v>25000</v>
      </c>
      <c r="D58" s="88"/>
      <c r="E58" s="84"/>
      <c r="F58" s="83"/>
      <c r="G58" s="83"/>
      <c r="H58" s="83"/>
      <c r="I58" s="83"/>
      <c r="J58" s="83"/>
      <c r="K58" s="83"/>
      <c r="L58" s="83"/>
      <c r="M58" s="84"/>
      <c r="N58" s="85">
        <f t="shared" si="1"/>
        <v>0</v>
      </c>
      <c r="O58" s="86">
        <f t="shared" si="2"/>
        <v>25000</v>
      </c>
    </row>
    <row r="59" spans="1:15" ht="17.25" customHeight="1" x14ac:dyDescent="0.3">
      <c r="A59" s="79" t="s">
        <v>144</v>
      </c>
      <c r="B59" s="87" t="s">
        <v>145</v>
      </c>
      <c r="C59" s="151">
        <v>54295</v>
      </c>
      <c r="D59" s="88"/>
      <c r="E59" s="84"/>
      <c r="F59" s="83"/>
      <c r="G59" s="83"/>
      <c r="H59" s="83"/>
      <c r="I59" s="83"/>
      <c r="J59" s="83"/>
      <c r="K59" s="83"/>
      <c r="L59" s="83"/>
      <c r="M59" s="84"/>
      <c r="N59" s="85">
        <f t="shared" si="1"/>
        <v>0</v>
      </c>
      <c r="O59" s="86">
        <f t="shared" si="2"/>
        <v>54295</v>
      </c>
    </row>
    <row r="60" spans="1:15" ht="17.25" customHeight="1" x14ac:dyDescent="0.3">
      <c r="A60" s="79" t="s">
        <v>146</v>
      </c>
      <c r="B60" s="87" t="s">
        <v>147</v>
      </c>
      <c r="C60" s="151">
        <v>10000</v>
      </c>
      <c r="D60" s="88"/>
      <c r="E60" s="84"/>
      <c r="F60" s="83"/>
      <c r="G60" s="83"/>
      <c r="H60" s="83"/>
      <c r="I60" s="83"/>
      <c r="J60" s="83"/>
      <c r="K60" s="83"/>
      <c r="L60" s="83"/>
      <c r="M60" s="84"/>
      <c r="N60" s="85">
        <f t="shared" si="1"/>
        <v>0</v>
      </c>
      <c r="O60" s="86">
        <f t="shared" si="2"/>
        <v>10000</v>
      </c>
    </row>
    <row r="61" spans="1:15" ht="17.25" customHeight="1" x14ac:dyDescent="0.3">
      <c r="A61" s="79" t="s">
        <v>148</v>
      </c>
      <c r="B61" s="87" t="s">
        <v>149</v>
      </c>
      <c r="C61" s="151">
        <v>17060</v>
      </c>
      <c r="D61" s="88"/>
      <c r="E61" s="84"/>
      <c r="F61" s="83"/>
      <c r="G61" s="83"/>
      <c r="H61" s="83"/>
      <c r="I61" s="83"/>
      <c r="J61" s="83"/>
      <c r="K61" s="83"/>
      <c r="L61" s="83"/>
      <c r="M61" s="84"/>
      <c r="N61" s="85">
        <f t="shared" si="1"/>
        <v>0</v>
      </c>
      <c r="O61" s="86">
        <f t="shared" si="2"/>
        <v>17060</v>
      </c>
    </row>
    <row r="62" spans="1:15" ht="17.25" customHeight="1" x14ac:dyDescent="0.3">
      <c r="A62" s="79" t="s">
        <v>150</v>
      </c>
      <c r="B62" s="87" t="s">
        <v>153</v>
      </c>
      <c r="C62" s="151">
        <v>3500</v>
      </c>
      <c r="D62" s="88"/>
      <c r="E62" s="84"/>
      <c r="F62" s="83"/>
      <c r="G62" s="83"/>
      <c r="H62" s="83"/>
      <c r="I62" s="83"/>
      <c r="J62" s="83"/>
      <c r="K62" s="83"/>
      <c r="L62" s="83"/>
      <c r="M62" s="84"/>
      <c r="N62" s="85">
        <f t="shared" si="1"/>
        <v>0</v>
      </c>
      <c r="O62" s="86">
        <f t="shared" si="2"/>
        <v>3500</v>
      </c>
    </row>
    <row r="63" spans="1:15" ht="17.25" customHeight="1" x14ac:dyDescent="0.25">
      <c r="A63" s="89" t="s">
        <v>154</v>
      </c>
      <c r="B63" s="87" t="s">
        <v>155</v>
      </c>
      <c r="C63" s="165">
        <f>SUM(C64:C77)</f>
        <v>96876</v>
      </c>
      <c r="D63" s="88"/>
      <c r="E63" s="84"/>
      <c r="F63" s="83"/>
      <c r="G63" s="83"/>
      <c r="H63" s="83"/>
      <c r="I63" s="83"/>
      <c r="J63" s="83"/>
      <c r="K63" s="83"/>
      <c r="L63" s="83"/>
      <c r="M63" s="84"/>
      <c r="N63" s="85">
        <f t="shared" si="1"/>
        <v>0</v>
      </c>
      <c r="O63" s="86">
        <f t="shared" si="2"/>
        <v>96876</v>
      </c>
    </row>
    <row r="64" spans="1:15" ht="17.25" customHeight="1" x14ac:dyDescent="0.3">
      <c r="A64" s="79" t="s">
        <v>156</v>
      </c>
      <c r="B64" s="87" t="s">
        <v>157</v>
      </c>
      <c r="C64" s="151">
        <v>1000</v>
      </c>
      <c r="D64" s="88"/>
      <c r="E64" s="84"/>
      <c r="F64" s="83"/>
      <c r="G64" s="83"/>
      <c r="H64" s="83"/>
      <c r="I64" s="83"/>
      <c r="J64" s="83"/>
      <c r="K64" s="83"/>
      <c r="L64" s="83"/>
      <c r="M64" s="84"/>
      <c r="N64" s="85">
        <f t="shared" si="1"/>
        <v>0</v>
      </c>
      <c r="O64" s="86">
        <f t="shared" si="2"/>
        <v>1000</v>
      </c>
    </row>
    <row r="65" spans="1:15" ht="17.25" customHeight="1" x14ac:dyDescent="0.3">
      <c r="A65" s="79" t="s">
        <v>158</v>
      </c>
      <c r="B65" s="87" t="s">
        <v>159</v>
      </c>
      <c r="C65" s="151">
        <v>3500</v>
      </c>
      <c r="D65" s="88"/>
      <c r="E65" s="84"/>
      <c r="F65" s="83"/>
      <c r="G65" s="83"/>
      <c r="H65" s="83"/>
      <c r="I65" s="83"/>
      <c r="J65" s="83"/>
      <c r="K65" s="83"/>
      <c r="L65" s="83"/>
      <c r="M65" s="84"/>
      <c r="N65" s="85">
        <f t="shared" si="1"/>
        <v>0</v>
      </c>
      <c r="O65" s="86">
        <f t="shared" si="2"/>
        <v>3500</v>
      </c>
    </row>
    <row r="66" spans="1:15" ht="17.25" customHeight="1" x14ac:dyDescent="0.3">
      <c r="A66" s="79" t="s">
        <v>160</v>
      </c>
      <c r="B66" s="87" t="s">
        <v>161</v>
      </c>
      <c r="C66" s="151">
        <v>10125</v>
      </c>
      <c r="D66" s="88"/>
      <c r="E66" s="84"/>
      <c r="F66" s="83"/>
      <c r="G66" s="83"/>
      <c r="H66" s="83"/>
      <c r="I66" s="83"/>
      <c r="J66" s="83"/>
      <c r="K66" s="83"/>
      <c r="L66" s="83"/>
      <c r="M66" s="84"/>
      <c r="N66" s="85">
        <f t="shared" si="1"/>
        <v>0</v>
      </c>
      <c r="O66" s="86">
        <f t="shared" si="2"/>
        <v>10125</v>
      </c>
    </row>
    <row r="67" spans="1:15" ht="22.2" customHeight="1" x14ac:dyDescent="0.3">
      <c r="A67" s="79" t="s">
        <v>162</v>
      </c>
      <c r="B67" s="87" t="s">
        <v>163</v>
      </c>
      <c r="C67" s="151">
        <v>2000</v>
      </c>
      <c r="D67" s="88"/>
      <c r="E67" s="84"/>
      <c r="F67" s="83"/>
      <c r="G67" s="83"/>
      <c r="H67" s="83"/>
      <c r="I67" s="83"/>
      <c r="J67" s="83"/>
      <c r="K67" s="83"/>
      <c r="L67" s="83"/>
      <c r="M67" s="84"/>
      <c r="N67" s="85">
        <f t="shared" si="1"/>
        <v>0</v>
      </c>
      <c r="O67" s="86">
        <f t="shared" si="2"/>
        <v>2000</v>
      </c>
    </row>
    <row r="68" spans="1:15" ht="17.25" customHeight="1" x14ac:dyDescent="0.3">
      <c r="A68" s="79" t="s">
        <v>164</v>
      </c>
      <c r="B68" s="87" t="s">
        <v>165</v>
      </c>
      <c r="C68" s="151">
        <v>8000</v>
      </c>
      <c r="D68" s="88"/>
      <c r="E68" s="84"/>
      <c r="F68" s="83"/>
      <c r="G68" s="83"/>
      <c r="H68" s="83"/>
      <c r="I68" s="83"/>
      <c r="J68" s="83"/>
      <c r="K68" s="83"/>
      <c r="L68" s="83"/>
      <c r="M68" s="84"/>
      <c r="N68" s="85">
        <f t="shared" si="1"/>
        <v>0</v>
      </c>
      <c r="O68" s="86">
        <f t="shared" si="2"/>
        <v>8000</v>
      </c>
    </row>
    <row r="69" spans="1:15" ht="17.25" customHeight="1" x14ac:dyDescent="0.3">
      <c r="A69" s="79" t="s">
        <v>166</v>
      </c>
      <c r="B69" s="87" t="s">
        <v>167</v>
      </c>
      <c r="C69" s="151">
        <v>4560</v>
      </c>
      <c r="D69" s="88"/>
      <c r="E69" s="84"/>
      <c r="F69" s="83"/>
      <c r="G69" s="83"/>
      <c r="H69" s="83"/>
      <c r="I69" s="83"/>
      <c r="J69" s="83"/>
      <c r="K69" s="83"/>
      <c r="L69" s="83"/>
      <c r="M69" s="84"/>
      <c r="N69" s="85">
        <f t="shared" si="1"/>
        <v>0</v>
      </c>
      <c r="O69" s="86">
        <f t="shared" si="2"/>
        <v>4560</v>
      </c>
    </row>
    <row r="70" spans="1:15" ht="17.25" customHeight="1" x14ac:dyDescent="0.3">
      <c r="A70" s="79" t="s">
        <v>168</v>
      </c>
      <c r="B70" s="87" t="s">
        <v>169</v>
      </c>
      <c r="C70" s="151">
        <v>4500</v>
      </c>
      <c r="D70" s="88"/>
      <c r="E70" s="84"/>
      <c r="F70" s="83"/>
      <c r="G70" s="83"/>
      <c r="H70" s="83"/>
      <c r="I70" s="83"/>
      <c r="J70" s="83"/>
      <c r="K70" s="83"/>
      <c r="L70" s="83"/>
      <c r="M70" s="84"/>
      <c r="N70" s="85">
        <f t="shared" si="1"/>
        <v>0</v>
      </c>
      <c r="O70" s="86">
        <f t="shared" si="2"/>
        <v>4500</v>
      </c>
    </row>
    <row r="71" spans="1:15" ht="17.25" customHeight="1" x14ac:dyDescent="0.3">
      <c r="A71" s="79" t="s">
        <v>170</v>
      </c>
      <c r="B71" s="87" t="s">
        <v>171</v>
      </c>
      <c r="C71" s="151">
        <v>6000</v>
      </c>
      <c r="D71" s="88"/>
      <c r="E71" s="84"/>
      <c r="F71" s="83"/>
      <c r="G71" s="83"/>
      <c r="H71" s="83"/>
      <c r="I71" s="83"/>
      <c r="J71" s="83"/>
      <c r="K71" s="83"/>
      <c r="L71" s="83"/>
      <c r="M71" s="84"/>
      <c r="N71" s="85">
        <f t="shared" si="1"/>
        <v>0</v>
      </c>
      <c r="O71" s="86">
        <f t="shared" si="2"/>
        <v>6000</v>
      </c>
    </row>
    <row r="72" spans="1:15" ht="17.25" customHeight="1" x14ac:dyDescent="0.3">
      <c r="A72" s="79" t="s">
        <v>172</v>
      </c>
      <c r="B72" s="87" t="s">
        <v>173</v>
      </c>
      <c r="C72" s="151">
        <v>4000</v>
      </c>
      <c r="D72" s="88"/>
      <c r="E72" s="84"/>
      <c r="F72" s="83"/>
      <c r="G72" s="83"/>
      <c r="H72" s="83"/>
      <c r="I72" s="83"/>
      <c r="J72" s="83"/>
      <c r="K72" s="83"/>
      <c r="L72" s="83"/>
      <c r="M72" s="84"/>
      <c r="N72" s="85">
        <f t="shared" si="1"/>
        <v>0</v>
      </c>
      <c r="O72" s="86">
        <f t="shared" si="2"/>
        <v>4000</v>
      </c>
    </row>
    <row r="73" spans="1:15" ht="17.25" customHeight="1" x14ac:dyDescent="0.3">
      <c r="A73" s="79" t="s">
        <v>174</v>
      </c>
      <c r="B73" s="87" t="s">
        <v>175</v>
      </c>
      <c r="C73" s="151">
        <v>10000</v>
      </c>
      <c r="D73" s="88"/>
      <c r="E73" s="84"/>
      <c r="F73" s="83"/>
      <c r="G73" s="83"/>
      <c r="H73" s="83"/>
      <c r="I73" s="83"/>
      <c r="J73" s="83"/>
      <c r="K73" s="83"/>
      <c r="L73" s="83"/>
      <c r="M73" s="84"/>
      <c r="N73" s="85">
        <f t="shared" si="1"/>
        <v>0</v>
      </c>
      <c r="O73" s="86">
        <f t="shared" si="2"/>
        <v>10000</v>
      </c>
    </row>
    <row r="74" spans="1:15" ht="17.25" customHeight="1" x14ac:dyDescent="0.3">
      <c r="A74" s="79" t="s">
        <v>176</v>
      </c>
      <c r="B74" s="87" t="s">
        <v>177</v>
      </c>
      <c r="C74" s="166">
        <v>10000</v>
      </c>
      <c r="D74" s="88"/>
      <c r="E74" s="84"/>
      <c r="F74" s="83"/>
      <c r="G74" s="83"/>
      <c r="H74" s="83"/>
      <c r="I74" s="83"/>
      <c r="J74" s="83"/>
      <c r="K74" s="83"/>
      <c r="L74" s="83"/>
      <c r="M74" s="84"/>
      <c r="N74" s="85">
        <f t="shared" si="1"/>
        <v>0</v>
      </c>
      <c r="O74" s="86">
        <f t="shared" si="2"/>
        <v>10000</v>
      </c>
    </row>
    <row r="75" spans="1:15" ht="22.95" customHeight="1" x14ac:dyDescent="0.3">
      <c r="A75" s="79" t="s">
        <v>178</v>
      </c>
      <c r="B75" s="87" t="s">
        <v>286</v>
      </c>
      <c r="C75" s="166">
        <v>16000</v>
      </c>
      <c r="D75" s="88"/>
      <c r="E75" s="84"/>
      <c r="F75" s="83"/>
      <c r="G75" s="83"/>
      <c r="H75" s="83"/>
      <c r="I75" s="83"/>
      <c r="J75" s="83"/>
      <c r="K75" s="83"/>
      <c r="L75" s="83"/>
      <c r="M75" s="84"/>
      <c r="N75" s="85">
        <f t="shared" ref="N75:N76" si="11">SUM(D75:M75)</f>
        <v>0</v>
      </c>
      <c r="O75" s="86">
        <f t="shared" ref="O75:O76" si="12">SUM(C75,N75)</f>
        <v>16000</v>
      </c>
    </row>
    <row r="76" spans="1:15" ht="17.25" customHeight="1" x14ac:dyDescent="0.3">
      <c r="A76" s="79" t="s">
        <v>294</v>
      </c>
      <c r="B76" s="87" t="s">
        <v>88</v>
      </c>
      <c r="C76" s="166">
        <v>5000</v>
      </c>
      <c r="D76" s="88"/>
      <c r="E76" s="84"/>
      <c r="F76" s="83"/>
      <c r="G76" s="83"/>
      <c r="H76" s="83"/>
      <c r="I76" s="83"/>
      <c r="J76" s="83"/>
      <c r="K76" s="83"/>
      <c r="L76" s="83"/>
      <c r="M76" s="84"/>
      <c r="N76" s="85">
        <f t="shared" si="11"/>
        <v>0</v>
      </c>
      <c r="O76" s="86">
        <f t="shared" si="12"/>
        <v>5000</v>
      </c>
    </row>
    <row r="77" spans="1:15" ht="17.25" customHeight="1" x14ac:dyDescent="0.3">
      <c r="A77" s="79" t="s">
        <v>295</v>
      </c>
      <c r="B77" s="87" t="s">
        <v>179</v>
      </c>
      <c r="C77" s="166">
        <v>12191</v>
      </c>
      <c r="D77" s="88"/>
      <c r="E77" s="84"/>
      <c r="F77" s="83"/>
      <c r="G77" s="83"/>
      <c r="H77" s="83"/>
      <c r="I77" s="83"/>
      <c r="J77" s="83"/>
      <c r="K77" s="83"/>
      <c r="L77" s="83"/>
      <c r="M77" s="84"/>
      <c r="N77" s="85">
        <f t="shared" si="1"/>
        <v>0</v>
      </c>
      <c r="O77" s="86">
        <f t="shared" si="2"/>
        <v>12191</v>
      </c>
    </row>
    <row r="78" spans="1:15" ht="17.25" customHeight="1" x14ac:dyDescent="0.25">
      <c r="A78" s="79" t="s">
        <v>180</v>
      </c>
      <c r="B78" s="87" t="s">
        <v>181</v>
      </c>
      <c r="C78" s="165">
        <f>SUM(C79:C81)</f>
        <v>151207</v>
      </c>
      <c r="D78" s="88"/>
      <c r="E78" s="84"/>
      <c r="F78" s="83"/>
      <c r="G78" s="83"/>
      <c r="H78" s="83"/>
      <c r="I78" s="83"/>
      <c r="J78" s="83"/>
      <c r="K78" s="83"/>
      <c r="L78" s="83"/>
      <c r="M78" s="84"/>
      <c r="N78" s="85">
        <f t="shared" si="1"/>
        <v>0</v>
      </c>
      <c r="O78" s="86">
        <f t="shared" si="2"/>
        <v>151207</v>
      </c>
    </row>
    <row r="79" spans="1:15" ht="17.25" customHeight="1" x14ac:dyDescent="0.3">
      <c r="A79" s="79" t="s">
        <v>182</v>
      </c>
      <c r="B79" s="87" t="s">
        <v>183</v>
      </c>
      <c r="C79" s="151">
        <v>80000</v>
      </c>
      <c r="D79" s="88"/>
      <c r="E79" s="84"/>
      <c r="F79" s="83"/>
      <c r="G79" s="83"/>
      <c r="H79" s="83"/>
      <c r="I79" s="83"/>
      <c r="J79" s="83"/>
      <c r="K79" s="83"/>
      <c r="L79" s="83"/>
      <c r="M79" s="84"/>
      <c r="N79" s="85">
        <f t="shared" si="1"/>
        <v>0</v>
      </c>
      <c r="O79" s="86">
        <f t="shared" si="2"/>
        <v>80000</v>
      </c>
    </row>
    <row r="80" spans="1:15" ht="17.25" customHeight="1" x14ac:dyDescent="0.3">
      <c r="A80" s="79" t="s">
        <v>184</v>
      </c>
      <c r="B80" s="87" t="s">
        <v>185</v>
      </c>
      <c r="C80" s="151">
        <v>35207</v>
      </c>
      <c r="D80" s="88"/>
      <c r="E80" s="84"/>
      <c r="F80" s="83"/>
      <c r="G80" s="83"/>
      <c r="H80" s="83"/>
      <c r="I80" s="83"/>
      <c r="J80" s="83"/>
      <c r="K80" s="83"/>
      <c r="L80" s="83"/>
      <c r="M80" s="84"/>
      <c r="N80" s="85">
        <f t="shared" ref="N80:N92" si="13">SUM(D80:M80)</f>
        <v>0</v>
      </c>
      <c r="O80" s="86">
        <f t="shared" si="2"/>
        <v>35207</v>
      </c>
    </row>
    <row r="81" spans="1:17" ht="17.25" customHeight="1" x14ac:dyDescent="0.3">
      <c r="A81" s="79" t="s">
        <v>186</v>
      </c>
      <c r="B81" s="87" t="s">
        <v>187</v>
      </c>
      <c r="C81" s="151">
        <v>36000</v>
      </c>
      <c r="D81" s="88"/>
      <c r="E81" s="84"/>
      <c r="F81" s="83"/>
      <c r="G81" s="83"/>
      <c r="H81" s="83"/>
      <c r="I81" s="83"/>
      <c r="J81" s="83"/>
      <c r="K81" s="83"/>
      <c r="L81" s="83"/>
      <c r="M81" s="84"/>
      <c r="N81" s="85">
        <f t="shared" si="13"/>
        <v>0</v>
      </c>
      <c r="O81" s="86">
        <f t="shared" ref="O81:O92" si="14">SUM(C81,N81)</f>
        <v>36000</v>
      </c>
    </row>
    <row r="82" spans="1:17" ht="17.25" customHeight="1" x14ac:dyDescent="0.25">
      <c r="A82" s="250" t="s">
        <v>1</v>
      </c>
      <c r="B82" s="251" t="s">
        <v>188</v>
      </c>
      <c r="C82" s="246">
        <f>SUM(C83:C92)</f>
        <v>294542</v>
      </c>
      <c r="D82" s="247"/>
      <c r="E82" s="243"/>
      <c r="F82" s="243">
        <f>SUM(F83:F92)</f>
        <v>13501</v>
      </c>
      <c r="G82" s="243"/>
      <c r="H82" s="243"/>
      <c r="I82" s="243"/>
      <c r="J82" s="243"/>
      <c r="K82" s="243"/>
      <c r="L82" s="243"/>
      <c r="M82" s="243"/>
      <c r="N82" s="244">
        <f t="shared" si="13"/>
        <v>13501</v>
      </c>
      <c r="O82" s="245">
        <f t="shared" si="14"/>
        <v>308043</v>
      </c>
    </row>
    <row r="83" spans="1:17" ht="65.400000000000006" customHeight="1" x14ac:dyDescent="0.25">
      <c r="A83" s="95" t="s">
        <v>189</v>
      </c>
      <c r="B83" s="168" t="s">
        <v>283</v>
      </c>
      <c r="C83" s="172">
        <v>54460</v>
      </c>
      <c r="D83" s="88"/>
      <c r="E83" s="84"/>
      <c r="F83" s="83"/>
      <c r="G83" s="83"/>
      <c r="H83" s="83"/>
      <c r="I83" s="83"/>
      <c r="J83" s="83"/>
      <c r="K83" s="83"/>
      <c r="L83" s="83"/>
      <c r="M83" s="84"/>
      <c r="N83" s="85">
        <f t="shared" si="13"/>
        <v>0</v>
      </c>
      <c r="O83" s="86">
        <f t="shared" si="14"/>
        <v>54460</v>
      </c>
    </row>
    <row r="84" spans="1:17" ht="33.6" customHeight="1" x14ac:dyDescent="0.25">
      <c r="A84" s="95" t="s">
        <v>190</v>
      </c>
      <c r="B84" s="96" t="s">
        <v>252</v>
      </c>
      <c r="C84" s="172">
        <v>4000</v>
      </c>
      <c r="D84" s="88"/>
      <c r="E84" s="84"/>
      <c r="F84" s="83"/>
      <c r="G84" s="83"/>
      <c r="H84" s="83"/>
      <c r="I84" s="83"/>
      <c r="J84" s="83"/>
      <c r="K84" s="83"/>
      <c r="L84" s="83"/>
      <c r="M84" s="84"/>
      <c r="N84" s="85">
        <f t="shared" si="13"/>
        <v>0</v>
      </c>
      <c r="O84" s="86">
        <f t="shared" si="14"/>
        <v>4000</v>
      </c>
    </row>
    <row r="85" spans="1:17" ht="17.25" customHeight="1" x14ac:dyDescent="0.3">
      <c r="A85" s="79" t="s">
        <v>191</v>
      </c>
      <c r="B85" s="87" t="s">
        <v>192</v>
      </c>
      <c r="C85" s="151">
        <v>10000</v>
      </c>
      <c r="D85" s="88"/>
      <c r="E85" s="84"/>
      <c r="F85" s="83"/>
      <c r="G85" s="83"/>
      <c r="H85" s="83"/>
      <c r="I85" s="83"/>
      <c r="J85" s="83"/>
      <c r="K85" s="83"/>
      <c r="L85" s="83"/>
      <c r="M85" s="84"/>
      <c r="N85" s="85">
        <f t="shared" si="13"/>
        <v>0</v>
      </c>
      <c r="O85" s="86">
        <f t="shared" si="14"/>
        <v>10000</v>
      </c>
    </row>
    <row r="86" spans="1:17" ht="17.25" customHeight="1" x14ac:dyDescent="0.3">
      <c r="A86" s="79" t="s">
        <v>193</v>
      </c>
      <c r="B86" s="87" t="s">
        <v>194</v>
      </c>
      <c r="C86" s="164">
        <v>39836</v>
      </c>
      <c r="D86" s="88"/>
      <c r="E86" s="84"/>
      <c r="F86" s="83"/>
      <c r="G86" s="83"/>
      <c r="H86" s="83"/>
      <c r="I86" s="83"/>
      <c r="J86" s="83"/>
      <c r="K86" s="83"/>
      <c r="L86" s="83"/>
      <c r="M86" s="84"/>
      <c r="N86" s="85">
        <f t="shared" si="13"/>
        <v>0</v>
      </c>
      <c r="O86" s="86">
        <f t="shared" si="14"/>
        <v>39836</v>
      </c>
    </row>
    <row r="87" spans="1:17" ht="17.25" customHeight="1" x14ac:dyDescent="0.3">
      <c r="A87" s="79" t="s">
        <v>195</v>
      </c>
      <c r="B87" s="87" t="s">
        <v>196</v>
      </c>
      <c r="C87" s="151">
        <v>13697</v>
      </c>
      <c r="D87" s="88"/>
      <c r="E87" s="84"/>
      <c r="F87" s="83"/>
      <c r="G87" s="83"/>
      <c r="H87" s="83"/>
      <c r="I87" s="83"/>
      <c r="J87" s="83"/>
      <c r="K87" s="83"/>
      <c r="L87" s="83"/>
      <c r="M87" s="84"/>
      <c r="N87" s="85">
        <f t="shared" si="13"/>
        <v>0</v>
      </c>
      <c r="O87" s="86">
        <f t="shared" si="14"/>
        <v>13697</v>
      </c>
    </row>
    <row r="88" spans="1:17" ht="17.25" customHeight="1" x14ac:dyDescent="0.3">
      <c r="A88" s="79" t="s">
        <v>197</v>
      </c>
      <c r="B88" s="87" t="s">
        <v>198</v>
      </c>
      <c r="C88" s="151">
        <v>60000</v>
      </c>
      <c r="D88" s="88"/>
      <c r="E88" s="84"/>
      <c r="F88" s="83"/>
      <c r="G88" s="83"/>
      <c r="H88" s="83"/>
      <c r="I88" s="83"/>
      <c r="J88" s="83"/>
      <c r="K88" s="83"/>
      <c r="L88" s="83"/>
      <c r="M88" s="84"/>
      <c r="N88" s="85">
        <f t="shared" si="13"/>
        <v>0</v>
      </c>
      <c r="O88" s="86">
        <f t="shared" si="14"/>
        <v>60000</v>
      </c>
    </row>
    <row r="89" spans="1:17" ht="17.25" customHeight="1" x14ac:dyDescent="0.3">
      <c r="A89" s="79" t="s">
        <v>199</v>
      </c>
      <c r="B89" s="87" t="s">
        <v>201</v>
      </c>
      <c r="C89" s="151"/>
      <c r="D89" s="88"/>
      <c r="E89" s="84"/>
      <c r="F89" s="83">
        <v>13501</v>
      </c>
      <c r="G89" s="83"/>
      <c r="H89" s="83"/>
      <c r="I89" s="83"/>
      <c r="J89" s="83"/>
      <c r="K89" s="83"/>
      <c r="L89" s="83"/>
      <c r="M89" s="84"/>
      <c r="N89" s="85">
        <f t="shared" si="13"/>
        <v>13501</v>
      </c>
      <c r="O89" s="86">
        <f t="shared" si="14"/>
        <v>13501</v>
      </c>
    </row>
    <row r="90" spans="1:17" ht="23.4" customHeight="1" x14ac:dyDescent="0.3">
      <c r="A90" s="79" t="s">
        <v>200</v>
      </c>
      <c r="B90" s="167" t="s">
        <v>253</v>
      </c>
      <c r="C90" s="151">
        <v>30000</v>
      </c>
      <c r="D90" s="88"/>
      <c r="E90" s="84"/>
      <c r="F90" s="83"/>
      <c r="G90" s="83"/>
      <c r="H90" s="83"/>
      <c r="I90" s="83"/>
      <c r="J90" s="83"/>
      <c r="K90" s="83"/>
      <c r="L90" s="83"/>
      <c r="M90" s="84"/>
      <c r="N90" s="85">
        <f t="shared" si="13"/>
        <v>0</v>
      </c>
      <c r="O90" s="86">
        <f t="shared" si="14"/>
        <v>30000</v>
      </c>
    </row>
    <row r="91" spans="1:17" ht="22.95" customHeight="1" x14ac:dyDescent="0.3">
      <c r="A91" s="79" t="s">
        <v>202</v>
      </c>
      <c r="B91" s="87" t="s">
        <v>204</v>
      </c>
      <c r="C91" s="151">
        <v>20000</v>
      </c>
      <c r="D91" s="88"/>
      <c r="E91" s="84"/>
      <c r="F91" s="83"/>
      <c r="G91" s="83"/>
      <c r="H91" s="83"/>
      <c r="I91" s="83"/>
      <c r="J91" s="83"/>
      <c r="K91" s="83"/>
      <c r="L91" s="83"/>
      <c r="M91" s="84"/>
      <c r="N91" s="85">
        <f t="shared" si="13"/>
        <v>0</v>
      </c>
      <c r="O91" s="86">
        <f t="shared" si="14"/>
        <v>20000</v>
      </c>
    </row>
    <row r="92" spans="1:17" ht="46.2" customHeight="1" x14ac:dyDescent="0.25">
      <c r="A92" s="260" t="s">
        <v>203</v>
      </c>
      <c r="B92" s="87" t="s">
        <v>284</v>
      </c>
      <c r="C92" s="259">
        <v>62549</v>
      </c>
      <c r="D92" s="97"/>
      <c r="E92" s="98"/>
      <c r="F92" s="99"/>
      <c r="G92" s="99"/>
      <c r="H92" s="99"/>
      <c r="I92" s="99"/>
      <c r="J92" s="99"/>
      <c r="K92" s="99"/>
      <c r="L92" s="99"/>
      <c r="M92" s="98"/>
      <c r="N92" s="100">
        <f t="shared" si="13"/>
        <v>0</v>
      </c>
      <c r="O92" s="101">
        <f t="shared" si="14"/>
        <v>62549</v>
      </c>
    </row>
    <row r="93" spans="1:17" ht="17.25" customHeight="1" thickBot="1" x14ac:dyDescent="0.3">
      <c r="A93" s="505" t="s">
        <v>254</v>
      </c>
      <c r="B93" s="506"/>
      <c r="C93" s="252">
        <f>C8+C30+C82</f>
        <v>1912342</v>
      </c>
      <c r="D93" s="253">
        <f>D8+D30+D82</f>
        <v>0</v>
      </c>
      <c r="E93" s="254"/>
      <c r="F93" s="254">
        <f>F8+F30+F82</f>
        <v>2709000</v>
      </c>
      <c r="G93" s="254">
        <f>G8+G30+G82</f>
        <v>0</v>
      </c>
      <c r="H93" s="254"/>
      <c r="I93" s="254">
        <f>I8+I30+I82</f>
        <v>0</v>
      </c>
      <c r="J93" s="254" t="e">
        <f>SUM(J8,J31,#REF!)</f>
        <v>#REF!</v>
      </c>
      <c r="K93" s="254">
        <f>K8+K30+K82</f>
        <v>0</v>
      </c>
      <c r="L93" s="255">
        <f>L8+L30+L82</f>
        <v>0</v>
      </c>
      <c r="M93" s="254">
        <f>M8+M30+M82</f>
        <v>0</v>
      </c>
      <c r="N93" s="256">
        <f>N8+N30+N82</f>
        <v>2709000</v>
      </c>
      <c r="O93" s="257">
        <f>O8+O30+O82</f>
        <v>4621342</v>
      </c>
    </row>
    <row r="94" spans="1:17" ht="6.75" customHeight="1" thickTop="1" x14ac:dyDescent="0.25"/>
    <row r="95" spans="1:17" ht="25.5" customHeight="1" x14ac:dyDescent="0.25">
      <c r="A95" s="507"/>
      <c r="B95" s="507"/>
      <c r="C95" s="507"/>
      <c r="D95" s="507"/>
      <c r="E95" s="507"/>
      <c r="F95" s="507"/>
      <c r="G95" s="507"/>
      <c r="H95" s="507"/>
      <c r="I95" s="507"/>
      <c r="J95" s="507"/>
      <c r="K95" s="507"/>
      <c r="L95" s="507"/>
      <c r="M95" s="507"/>
      <c r="N95" s="507"/>
      <c r="O95" s="507"/>
      <c r="P95" s="102"/>
      <c r="Q95" s="102"/>
    </row>
    <row r="96" spans="1:17" x14ac:dyDescent="0.25">
      <c r="F96" s="153"/>
    </row>
    <row r="98" spans="6:6" x14ac:dyDescent="0.25">
      <c r="F98" s="153"/>
    </row>
  </sheetData>
  <mergeCells count="9">
    <mergeCell ref="A93:B93"/>
    <mergeCell ref="A95:O95"/>
    <mergeCell ref="A2:O2"/>
    <mergeCell ref="A4:A6"/>
    <mergeCell ref="B4:B6"/>
    <mergeCell ref="C4:O4"/>
    <mergeCell ref="C5:C6"/>
    <mergeCell ref="D5:N5"/>
    <mergeCell ref="O5:O6"/>
  </mergeCells>
  <printOptions horizontalCentered="1"/>
  <pageMargins left="0.19685039370078741" right="0.19685039370078741" top="0.31496062992125984" bottom="0.39370078740157483" header="0.31496062992125984" footer="0.31496062992125984"/>
  <pageSetup paperSize="9" scale="80" orientation="landscape" verticalDpi="0" r:id="rId1"/>
  <ignoredErrors>
    <ignoredError sqref="F13 C63 C8 G8" unlockedFormula="1"/>
    <ignoredError sqref="N10 N15:N16 N18:N26 N27:N29 N33 N35:N37 N39 N41 N43:N45 N48:N52 N54:N62 N64:N77 N79:N81 N83:N88 N90:N9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račun dobiti i gubitka</vt:lpstr>
      <vt:lpstr>bilanca </vt:lpstr>
      <vt:lpstr>plan invest.ulaganja</vt:lpstr>
      <vt:lpstr>izvori financiranja inv</vt:lpstr>
      <vt:lpstr>namjena i izvori financ.inv</vt:lpstr>
      <vt:lpstr>'namjena i izvori financ.inv'!Print_Area</vt:lpstr>
      <vt:lpstr>'plan invest.ulaganja'!Print_Area</vt:lpstr>
      <vt:lpstr>'namjena i izvori financ.inv'!Print_Titles</vt:lpstr>
      <vt:lpstr>'plan invest.ulaganja'!Print_Titles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 Rogić</dc:creator>
  <cp:lastModifiedBy>Mira Rogić</cp:lastModifiedBy>
  <cp:lastPrinted>2025-09-09T12:14:47Z</cp:lastPrinted>
  <dcterms:created xsi:type="dcterms:W3CDTF">2025-06-12T11:28:43Z</dcterms:created>
  <dcterms:modified xsi:type="dcterms:W3CDTF">2025-10-24T12:15:05Z</dcterms:modified>
</cp:coreProperties>
</file>